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100" yWindow="0" windowWidth="28800" windowHeight="1748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1" l="1"/>
  <c r="I10" i="1"/>
  <c r="H10" i="1"/>
  <c r="B21" i="1"/>
  <c r="H26" i="1"/>
  <c r="H27" i="1"/>
  <c r="E20" i="1"/>
  <c r="E22" i="1"/>
  <c r="E23" i="1"/>
  <c r="B14" i="1"/>
  <c r="H24" i="1"/>
  <c r="H23" i="1"/>
  <c r="B7" i="1"/>
  <c r="E6" i="1"/>
  <c r="H6" i="1"/>
  <c r="L5" i="1"/>
  <c r="N5" i="1"/>
  <c r="I23" i="1"/>
  <c r="H28" i="1"/>
  <c r="H30" i="1"/>
  <c r="H14" i="1"/>
  <c r="E33" i="1"/>
  <c r="E34" i="1"/>
  <c r="H33" i="1"/>
  <c r="I33" i="1"/>
  <c r="H29" i="1"/>
  <c r="E26" i="1"/>
  <c r="H22" i="1"/>
  <c r="I22" i="1"/>
  <c r="E21" i="1"/>
  <c r="H21" i="1"/>
  <c r="I21" i="1"/>
  <c r="H35" i="1"/>
  <c r="I35" i="1"/>
  <c r="H34" i="1"/>
  <c r="I34" i="1"/>
  <c r="E27" i="1"/>
  <c r="H7" i="1"/>
  <c r="E7" i="1"/>
  <c r="B16" i="1"/>
  <c r="B17" i="1"/>
  <c r="L6" i="1"/>
  <c r="M6" i="1"/>
  <c r="N6" i="1"/>
  <c r="O6" i="1"/>
  <c r="L7" i="1"/>
  <c r="M7" i="1"/>
  <c r="N7" i="1"/>
  <c r="O7" i="1"/>
  <c r="L8" i="1"/>
  <c r="M8" i="1"/>
  <c r="N8" i="1"/>
  <c r="O8" i="1"/>
  <c r="L9" i="1"/>
  <c r="M9" i="1"/>
  <c r="N9" i="1"/>
  <c r="O9" i="1"/>
  <c r="L10" i="1"/>
  <c r="M10" i="1"/>
  <c r="N10" i="1"/>
  <c r="O10" i="1"/>
  <c r="L11" i="1"/>
  <c r="M11" i="1"/>
  <c r="N11" i="1"/>
  <c r="O11" i="1"/>
  <c r="L12" i="1"/>
  <c r="M12" i="1"/>
  <c r="N12" i="1"/>
  <c r="O12" i="1"/>
  <c r="L13" i="1"/>
  <c r="M13" i="1"/>
  <c r="N13" i="1"/>
  <c r="O13" i="1"/>
  <c r="L14" i="1"/>
  <c r="M14" i="1"/>
  <c r="N14" i="1"/>
  <c r="O14" i="1"/>
  <c r="L15" i="1"/>
  <c r="M15" i="1"/>
  <c r="N15" i="1"/>
  <c r="O15" i="1"/>
  <c r="L16" i="1"/>
  <c r="M16" i="1"/>
  <c r="N16" i="1"/>
  <c r="O16" i="1"/>
  <c r="L17" i="1"/>
  <c r="M17" i="1"/>
  <c r="N17" i="1"/>
  <c r="O17" i="1"/>
  <c r="L18" i="1"/>
  <c r="M18" i="1"/>
  <c r="N18" i="1"/>
  <c r="O18" i="1"/>
  <c r="L19" i="1"/>
  <c r="M19" i="1"/>
  <c r="N19" i="1"/>
  <c r="O19" i="1"/>
  <c r="L20" i="1"/>
  <c r="M20" i="1"/>
  <c r="N20" i="1"/>
  <c r="O20" i="1"/>
  <c r="L21" i="1"/>
  <c r="M21" i="1"/>
  <c r="N21" i="1"/>
  <c r="O21" i="1"/>
  <c r="L22" i="1"/>
  <c r="M22" i="1"/>
  <c r="N22" i="1"/>
  <c r="O22" i="1"/>
  <c r="L23" i="1"/>
  <c r="M23" i="1"/>
  <c r="N23" i="1"/>
  <c r="O23" i="1"/>
  <c r="L24" i="1"/>
  <c r="M24" i="1"/>
  <c r="N24" i="1"/>
  <c r="O24" i="1"/>
  <c r="L25" i="1"/>
  <c r="M25" i="1"/>
  <c r="N25" i="1"/>
  <c r="O25" i="1"/>
  <c r="L26" i="1"/>
  <c r="M26" i="1"/>
  <c r="N26" i="1"/>
  <c r="O26" i="1"/>
  <c r="L27" i="1"/>
  <c r="M27" i="1"/>
  <c r="N27" i="1"/>
  <c r="O27" i="1"/>
  <c r="L28" i="1"/>
  <c r="M28" i="1"/>
  <c r="N28" i="1"/>
  <c r="O28" i="1"/>
  <c r="L29" i="1"/>
  <c r="M29" i="1"/>
  <c r="N29" i="1"/>
  <c r="O29" i="1"/>
  <c r="L30" i="1"/>
  <c r="M30" i="1"/>
  <c r="N30" i="1"/>
  <c r="O30" i="1"/>
  <c r="L31" i="1"/>
  <c r="M31" i="1"/>
  <c r="N31" i="1"/>
  <c r="O31" i="1"/>
  <c r="L32" i="1"/>
  <c r="M32" i="1"/>
  <c r="N32" i="1"/>
  <c r="O32" i="1"/>
  <c r="L33" i="1"/>
  <c r="M33" i="1"/>
  <c r="N33" i="1"/>
  <c r="O33" i="1"/>
  <c r="L34" i="1"/>
  <c r="M34" i="1"/>
  <c r="N34" i="1"/>
  <c r="O34" i="1"/>
  <c r="L35" i="1"/>
  <c r="M35" i="1"/>
  <c r="N35" i="1"/>
  <c r="O35" i="1"/>
  <c r="L36" i="1"/>
  <c r="M36" i="1"/>
  <c r="N36" i="1"/>
  <c r="O36" i="1"/>
  <c r="L37" i="1"/>
  <c r="M37" i="1"/>
  <c r="N37" i="1"/>
  <c r="O37" i="1"/>
  <c r="L38" i="1"/>
  <c r="M38" i="1"/>
  <c r="N38" i="1"/>
  <c r="O38" i="1"/>
  <c r="L39" i="1"/>
  <c r="M39" i="1"/>
  <c r="N39" i="1"/>
  <c r="O39" i="1"/>
  <c r="L40" i="1"/>
  <c r="M40" i="1"/>
  <c r="N40" i="1"/>
  <c r="O40" i="1"/>
  <c r="L41" i="1"/>
  <c r="M41" i="1"/>
  <c r="N41" i="1"/>
  <c r="O41" i="1"/>
  <c r="L42" i="1"/>
  <c r="M42" i="1"/>
  <c r="N42" i="1"/>
  <c r="O42" i="1"/>
  <c r="L43" i="1"/>
  <c r="M43" i="1"/>
  <c r="N43" i="1"/>
  <c r="O43" i="1"/>
  <c r="L44" i="1"/>
  <c r="M44" i="1"/>
  <c r="N44" i="1"/>
  <c r="O44" i="1"/>
  <c r="L45" i="1"/>
  <c r="M45" i="1"/>
  <c r="N45" i="1"/>
  <c r="O45" i="1"/>
  <c r="L46" i="1"/>
  <c r="M46" i="1"/>
  <c r="N46" i="1"/>
  <c r="O46" i="1"/>
  <c r="L47" i="1"/>
  <c r="M47" i="1"/>
  <c r="N47" i="1"/>
  <c r="O47" i="1"/>
  <c r="L48" i="1"/>
  <c r="M48" i="1"/>
  <c r="N48" i="1"/>
  <c r="O48" i="1"/>
  <c r="L49" i="1"/>
  <c r="M49" i="1"/>
  <c r="N49" i="1"/>
  <c r="O49" i="1"/>
  <c r="L50" i="1"/>
  <c r="M50" i="1"/>
  <c r="N50" i="1"/>
  <c r="O50" i="1"/>
  <c r="L51" i="1"/>
  <c r="M51" i="1"/>
  <c r="N51" i="1"/>
  <c r="O51" i="1"/>
  <c r="L52" i="1"/>
  <c r="M52" i="1"/>
  <c r="N52" i="1"/>
  <c r="O52" i="1"/>
  <c r="L53" i="1"/>
  <c r="M53" i="1"/>
  <c r="N53" i="1"/>
  <c r="O53" i="1"/>
  <c r="L54" i="1"/>
  <c r="M54" i="1"/>
  <c r="N54" i="1"/>
  <c r="O54" i="1"/>
  <c r="L55" i="1"/>
  <c r="M55" i="1"/>
  <c r="N55" i="1"/>
  <c r="O55" i="1"/>
  <c r="L56" i="1"/>
  <c r="M56" i="1"/>
  <c r="N56" i="1"/>
  <c r="O56" i="1"/>
  <c r="L57" i="1"/>
  <c r="M57" i="1"/>
  <c r="N57" i="1"/>
  <c r="O57" i="1"/>
  <c r="L58" i="1"/>
  <c r="M58" i="1"/>
  <c r="N58" i="1"/>
  <c r="O58" i="1"/>
  <c r="L59" i="1"/>
  <c r="M59" i="1"/>
  <c r="N59" i="1"/>
  <c r="O59" i="1"/>
  <c r="L60" i="1"/>
  <c r="M60" i="1"/>
  <c r="N60" i="1"/>
  <c r="O60" i="1"/>
  <c r="L61" i="1"/>
  <c r="M61" i="1"/>
  <c r="N61" i="1"/>
  <c r="O61" i="1"/>
  <c r="L62" i="1"/>
  <c r="M62" i="1"/>
  <c r="N62" i="1"/>
  <c r="O62" i="1"/>
  <c r="L63" i="1"/>
  <c r="M63" i="1"/>
  <c r="N63" i="1"/>
  <c r="O63" i="1"/>
  <c r="L64" i="1"/>
  <c r="M64" i="1"/>
  <c r="N64" i="1"/>
  <c r="O64" i="1"/>
  <c r="L65" i="1"/>
  <c r="M65" i="1"/>
  <c r="N65" i="1"/>
  <c r="O65" i="1"/>
  <c r="L66" i="1"/>
  <c r="M66" i="1"/>
  <c r="N66" i="1"/>
  <c r="O66" i="1"/>
  <c r="L67" i="1"/>
  <c r="M67" i="1"/>
  <c r="N67" i="1"/>
  <c r="O67" i="1"/>
  <c r="L68" i="1"/>
  <c r="M68" i="1"/>
  <c r="N68" i="1"/>
  <c r="O68" i="1"/>
  <c r="L69" i="1"/>
  <c r="M69" i="1"/>
  <c r="N69" i="1"/>
  <c r="O69" i="1"/>
  <c r="L70" i="1"/>
  <c r="M70" i="1"/>
  <c r="N70" i="1"/>
  <c r="O70" i="1"/>
  <c r="L71" i="1"/>
  <c r="M71" i="1"/>
  <c r="N71" i="1"/>
  <c r="O71" i="1"/>
  <c r="L72" i="1"/>
  <c r="M72" i="1"/>
  <c r="N72" i="1"/>
  <c r="O72" i="1"/>
  <c r="L73" i="1"/>
  <c r="M73" i="1"/>
  <c r="N73" i="1"/>
  <c r="O73" i="1"/>
  <c r="L74" i="1"/>
  <c r="M74" i="1"/>
  <c r="N74" i="1"/>
  <c r="O74" i="1"/>
  <c r="L75" i="1"/>
  <c r="M75" i="1"/>
  <c r="N75" i="1"/>
  <c r="O75" i="1"/>
  <c r="L76" i="1"/>
  <c r="M76" i="1"/>
  <c r="N76" i="1"/>
  <c r="O76" i="1"/>
  <c r="L77" i="1"/>
  <c r="M77" i="1"/>
  <c r="N77" i="1"/>
  <c r="O77" i="1"/>
  <c r="L78" i="1"/>
  <c r="M78" i="1"/>
  <c r="N78" i="1"/>
  <c r="O78" i="1"/>
  <c r="L79" i="1"/>
  <c r="M79" i="1"/>
  <c r="N79" i="1"/>
  <c r="O79" i="1"/>
  <c r="L80" i="1"/>
  <c r="M80" i="1"/>
  <c r="N80" i="1"/>
  <c r="O80" i="1"/>
  <c r="L81" i="1"/>
  <c r="M81" i="1"/>
  <c r="N81" i="1"/>
  <c r="O81" i="1"/>
  <c r="L82" i="1"/>
  <c r="M82" i="1"/>
  <c r="N82" i="1"/>
  <c r="O82" i="1"/>
  <c r="L83" i="1"/>
  <c r="M83" i="1"/>
  <c r="N83" i="1"/>
  <c r="O83" i="1"/>
  <c r="L84" i="1"/>
  <c r="M84" i="1"/>
  <c r="N84" i="1"/>
  <c r="O84" i="1"/>
  <c r="L85" i="1"/>
  <c r="M85" i="1"/>
  <c r="N85" i="1"/>
  <c r="O85" i="1"/>
  <c r="L86" i="1"/>
  <c r="M86" i="1"/>
  <c r="N86" i="1"/>
  <c r="O86" i="1"/>
  <c r="L87" i="1"/>
  <c r="M87" i="1"/>
  <c r="N87" i="1"/>
  <c r="O87" i="1"/>
  <c r="L88" i="1"/>
  <c r="M88" i="1"/>
  <c r="N88" i="1"/>
  <c r="O88" i="1"/>
  <c r="L89" i="1"/>
  <c r="M89" i="1"/>
  <c r="N89" i="1"/>
  <c r="O89" i="1"/>
  <c r="L90" i="1"/>
  <c r="M90" i="1"/>
  <c r="N90" i="1"/>
  <c r="O90" i="1"/>
  <c r="L91" i="1"/>
  <c r="M91" i="1"/>
  <c r="N91" i="1"/>
  <c r="O91" i="1"/>
  <c r="L92" i="1"/>
  <c r="M92" i="1"/>
  <c r="N92" i="1"/>
  <c r="O92" i="1"/>
  <c r="L93" i="1"/>
  <c r="M93" i="1"/>
  <c r="N93" i="1"/>
  <c r="O93" i="1"/>
  <c r="L94" i="1"/>
  <c r="M94" i="1"/>
  <c r="N94" i="1"/>
  <c r="O94" i="1"/>
  <c r="L95" i="1"/>
  <c r="M95" i="1"/>
  <c r="N95" i="1"/>
  <c r="O95" i="1"/>
  <c r="L96" i="1"/>
  <c r="M96" i="1"/>
  <c r="N96" i="1"/>
  <c r="O96" i="1"/>
  <c r="L97" i="1"/>
  <c r="M97" i="1"/>
  <c r="N97" i="1"/>
  <c r="O97" i="1"/>
  <c r="L98" i="1"/>
  <c r="M98" i="1"/>
  <c r="N98" i="1"/>
  <c r="O98" i="1"/>
  <c r="L99" i="1"/>
  <c r="M99" i="1"/>
  <c r="N99" i="1"/>
  <c r="O99" i="1"/>
  <c r="L100" i="1"/>
  <c r="M100" i="1"/>
  <c r="N100" i="1"/>
  <c r="O100" i="1"/>
  <c r="L101" i="1"/>
  <c r="M101" i="1"/>
  <c r="N101" i="1"/>
  <c r="O101" i="1"/>
  <c r="L102" i="1"/>
  <c r="M102" i="1"/>
  <c r="N102" i="1"/>
  <c r="O102" i="1"/>
  <c r="L103" i="1"/>
  <c r="M103" i="1"/>
  <c r="N103" i="1"/>
  <c r="O103" i="1"/>
  <c r="L104" i="1"/>
  <c r="M104" i="1"/>
  <c r="N104" i="1"/>
  <c r="O104" i="1"/>
  <c r="L105" i="1"/>
  <c r="M105" i="1"/>
  <c r="N105" i="1"/>
  <c r="O105" i="1"/>
  <c r="M5" i="1"/>
  <c r="O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</calcChain>
</file>

<file path=xl/sharedStrings.xml><?xml version="1.0" encoding="utf-8"?>
<sst xmlns="http://schemas.openxmlformats.org/spreadsheetml/2006/main" count="73" uniqueCount="70">
  <si>
    <t>BE Stockage d'énergie</t>
  </si>
  <si>
    <t>Disque</t>
  </si>
  <si>
    <t>r1</t>
  </si>
  <si>
    <t>r2</t>
  </si>
  <si>
    <t>J</t>
  </si>
  <si>
    <t>nu</t>
  </si>
  <si>
    <t>e</t>
  </si>
  <si>
    <t>Rotation</t>
  </si>
  <si>
    <t>Omega</t>
  </si>
  <si>
    <t>Tr/mn</t>
  </si>
  <si>
    <t>rd/s</t>
  </si>
  <si>
    <t>r</t>
  </si>
  <si>
    <t>s_r (Mpa)</t>
  </si>
  <si>
    <t>s_t (Mpa)</t>
  </si>
  <si>
    <t>Mises</t>
  </si>
  <si>
    <t>Ec (J)</t>
  </si>
  <si>
    <t>Ec (kWh)</t>
  </si>
  <si>
    <t>m (kg)</t>
  </si>
  <si>
    <t>Diam arbre</t>
  </si>
  <si>
    <t>Véhicule</t>
  </si>
  <si>
    <t>Masse (kg)</t>
  </si>
  <si>
    <t>Vitesse (km/h)</t>
  </si>
  <si>
    <t>Energie (J)</t>
  </si>
  <si>
    <t>Energie (kWh)</t>
  </si>
  <si>
    <t>Rendement (freinage)</t>
  </si>
  <si>
    <t>Energ à Dissiper</t>
  </si>
  <si>
    <t>E (Mpa)</t>
  </si>
  <si>
    <t>rho (kg/m3)</t>
  </si>
  <si>
    <t>Rendement (Stockage)</t>
  </si>
  <si>
    <t xml:space="preserve">Couple gyro </t>
  </si>
  <si>
    <t>R courbure (m)</t>
  </si>
  <si>
    <t>Vitesse (Km/h)</t>
  </si>
  <si>
    <t>vitess de rot. (rd/s)</t>
  </si>
  <si>
    <t>Coupe Gyro (N.m)</t>
  </si>
  <si>
    <t>Liaison</t>
  </si>
  <si>
    <t>Effort Palier (N)</t>
  </si>
  <si>
    <t>Effort acc (N)</t>
  </si>
  <si>
    <t>M Quadrat.</t>
  </si>
  <si>
    <t>Syst 1DDL</t>
  </si>
  <si>
    <t>E_arbre (Gpa)</t>
  </si>
  <si>
    <t>Energ à Stocker</t>
  </si>
  <si>
    <t>Matériau Disque</t>
  </si>
  <si>
    <t>Vitesse glissement</t>
  </si>
  <si>
    <t>Liaison Pivot</t>
  </si>
  <si>
    <t>Roulement</t>
  </si>
  <si>
    <t>Diam moyen (mm)</t>
  </si>
  <si>
    <t>Critère N.D</t>
  </si>
  <si>
    <t>K_eq (mini)</t>
  </si>
  <si>
    <t>K_eq' (maxi)</t>
  </si>
  <si>
    <t>Palier</t>
  </si>
  <si>
    <t>Effort Poids (N)</t>
  </si>
  <si>
    <t>Longueur</t>
  </si>
  <si>
    <t>P.V</t>
  </si>
  <si>
    <t>Rd/s</t>
  </si>
  <si>
    <t>Hz</t>
  </si>
  <si>
    <t>Diametre (m) (2xr1)</t>
  </si>
  <si>
    <t>P.V max (optimiste)</t>
  </si>
  <si>
    <t>N.D maxi</t>
  </si>
  <si>
    <t>Sig_tt max</t>
  </si>
  <si>
    <t>Sig_max</t>
  </si>
  <si>
    <t>F (N)</t>
  </si>
  <si>
    <t>Pression* (Mpa)</t>
  </si>
  <si>
    <t>* avec surface projetée</t>
  </si>
  <si>
    <t>S (m^2)</t>
  </si>
  <si>
    <t>Rayleigh (mod1)</t>
  </si>
  <si>
    <t>Puls. ppe (mod1)</t>
  </si>
  <si>
    <t>Puls. ppre (mod2)</t>
  </si>
  <si>
    <t>rho_arbre</t>
  </si>
  <si>
    <t>Entraxe : a (m)</t>
  </si>
  <si>
    <t>Rayleigh (Sin Pi x/a)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</si>
</sst>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sz val="16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11" fontId="0" fillId="3" borderId="0" xfId="0" applyNumberFormat="1" applyFill="1"/>
    <xf numFmtId="0" fontId="0" fillId="3" borderId="0" xfId="0" applyFill="1"/>
    <xf numFmtId="0" fontId="0" fillId="4" borderId="0" xfId="0" applyFill="1"/>
    <xf numFmtId="164" fontId="0" fillId="2" borderId="0" xfId="0" applyNumberFormat="1" applyFill="1"/>
    <xf numFmtId="164" fontId="0" fillId="4" borderId="0" xfId="0" applyNumberFormat="1" applyFill="1"/>
    <xf numFmtId="11" fontId="0" fillId="2" borderId="0" xfId="0" applyNumberFormat="1" applyFill="1"/>
    <xf numFmtId="10" fontId="0" fillId="2" borderId="0" xfId="0" applyNumberFormat="1" applyFill="1"/>
    <xf numFmtId="0" fontId="0" fillId="5" borderId="0" xfId="0" applyFill="1"/>
    <xf numFmtId="11" fontId="0" fillId="5" borderId="0" xfId="0" applyNumberFormat="1" applyFill="1"/>
    <xf numFmtId="2" fontId="0" fillId="0" borderId="0" xfId="0" applyNumberFormat="1"/>
  </cellXfs>
  <cellStyles count="3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Feuil1!$M$4</c:f>
              <c:strCache>
                <c:ptCount val="1"/>
                <c:pt idx="0">
                  <c:v>s_r (Mpa)</c:v>
                </c:pt>
              </c:strCache>
            </c:strRef>
          </c:tx>
          <c:marker>
            <c:symbol val="none"/>
          </c:marker>
          <c:xVal>
            <c:numRef>
              <c:f>Feuil1!$L$5:$L$105</c:f>
              <c:numCache>
                <c:formatCode>0.00E+00</c:formatCode>
                <c:ptCount val="101"/>
                <c:pt idx="0">
                  <c:v>0.01</c:v>
                </c:pt>
                <c:pt idx="1">
                  <c:v>0.0109</c:v>
                </c:pt>
                <c:pt idx="2">
                  <c:v>0.0118</c:v>
                </c:pt>
                <c:pt idx="3">
                  <c:v>0.0127</c:v>
                </c:pt>
                <c:pt idx="4">
                  <c:v>0.0136</c:v>
                </c:pt>
                <c:pt idx="5">
                  <c:v>0.0145</c:v>
                </c:pt>
                <c:pt idx="6">
                  <c:v>0.0154</c:v>
                </c:pt>
                <c:pt idx="7">
                  <c:v>0.0163</c:v>
                </c:pt>
                <c:pt idx="8">
                  <c:v>0.0172</c:v>
                </c:pt>
                <c:pt idx="9">
                  <c:v>0.0181</c:v>
                </c:pt>
                <c:pt idx="10">
                  <c:v>0.019</c:v>
                </c:pt>
                <c:pt idx="11">
                  <c:v>0.0199</c:v>
                </c:pt>
                <c:pt idx="12">
                  <c:v>0.0208</c:v>
                </c:pt>
                <c:pt idx="13">
                  <c:v>0.0217</c:v>
                </c:pt>
                <c:pt idx="14">
                  <c:v>0.0226</c:v>
                </c:pt>
                <c:pt idx="15">
                  <c:v>0.0235</c:v>
                </c:pt>
                <c:pt idx="16">
                  <c:v>0.0244</c:v>
                </c:pt>
                <c:pt idx="17">
                  <c:v>0.0253</c:v>
                </c:pt>
                <c:pt idx="18">
                  <c:v>0.0262</c:v>
                </c:pt>
                <c:pt idx="19">
                  <c:v>0.0271</c:v>
                </c:pt>
                <c:pt idx="20">
                  <c:v>0.028</c:v>
                </c:pt>
                <c:pt idx="21">
                  <c:v>0.0289</c:v>
                </c:pt>
                <c:pt idx="22">
                  <c:v>0.0298</c:v>
                </c:pt>
                <c:pt idx="23">
                  <c:v>0.0307</c:v>
                </c:pt>
                <c:pt idx="24">
                  <c:v>0.0316</c:v>
                </c:pt>
                <c:pt idx="25">
                  <c:v>0.0325</c:v>
                </c:pt>
                <c:pt idx="26">
                  <c:v>0.0334</c:v>
                </c:pt>
                <c:pt idx="27">
                  <c:v>0.0343</c:v>
                </c:pt>
                <c:pt idx="28">
                  <c:v>0.0352</c:v>
                </c:pt>
                <c:pt idx="29">
                  <c:v>0.0361</c:v>
                </c:pt>
                <c:pt idx="30">
                  <c:v>0.037</c:v>
                </c:pt>
                <c:pt idx="31">
                  <c:v>0.0379</c:v>
                </c:pt>
                <c:pt idx="32">
                  <c:v>0.0388</c:v>
                </c:pt>
                <c:pt idx="33">
                  <c:v>0.0397</c:v>
                </c:pt>
                <c:pt idx="34">
                  <c:v>0.0406</c:v>
                </c:pt>
                <c:pt idx="35">
                  <c:v>0.0415</c:v>
                </c:pt>
                <c:pt idx="36">
                  <c:v>0.0424</c:v>
                </c:pt>
                <c:pt idx="37">
                  <c:v>0.0433</c:v>
                </c:pt>
                <c:pt idx="38">
                  <c:v>0.0442</c:v>
                </c:pt>
                <c:pt idx="39">
                  <c:v>0.0451</c:v>
                </c:pt>
                <c:pt idx="40">
                  <c:v>0.046</c:v>
                </c:pt>
                <c:pt idx="41">
                  <c:v>0.0469</c:v>
                </c:pt>
                <c:pt idx="42">
                  <c:v>0.0478</c:v>
                </c:pt>
                <c:pt idx="43">
                  <c:v>0.0487</c:v>
                </c:pt>
                <c:pt idx="44">
                  <c:v>0.0496</c:v>
                </c:pt>
                <c:pt idx="45">
                  <c:v>0.0505</c:v>
                </c:pt>
                <c:pt idx="46">
                  <c:v>0.0514</c:v>
                </c:pt>
                <c:pt idx="47">
                  <c:v>0.0523</c:v>
                </c:pt>
                <c:pt idx="48">
                  <c:v>0.0532</c:v>
                </c:pt>
                <c:pt idx="49">
                  <c:v>0.0541</c:v>
                </c:pt>
                <c:pt idx="50">
                  <c:v>0.055</c:v>
                </c:pt>
                <c:pt idx="51">
                  <c:v>0.0559</c:v>
                </c:pt>
                <c:pt idx="52">
                  <c:v>0.0568</c:v>
                </c:pt>
                <c:pt idx="53">
                  <c:v>0.0577</c:v>
                </c:pt>
                <c:pt idx="54">
                  <c:v>0.0586</c:v>
                </c:pt>
                <c:pt idx="55">
                  <c:v>0.0594999999999999</c:v>
                </c:pt>
                <c:pt idx="56">
                  <c:v>0.0603999999999999</c:v>
                </c:pt>
                <c:pt idx="57">
                  <c:v>0.0612999999999999</c:v>
                </c:pt>
                <c:pt idx="58">
                  <c:v>0.0621999999999999</c:v>
                </c:pt>
                <c:pt idx="59">
                  <c:v>0.0630999999999999</c:v>
                </c:pt>
                <c:pt idx="60">
                  <c:v>0.0639999999999999</c:v>
                </c:pt>
                <c:pt idx="61">
                  <c:v>0.0648999999999999</c:v>
                </c:pt>
                <c:pt idx="62">
                  <c:v>0.0657999999999999</c:v>
                </c:pt>
                <c:pt idx="63">
                  <c:v>0.0666999999999999</c:v>
                </c:pt>
                <c:pt idx="64">
                  <c:v>0.0675999999999999</c:v>
                </c:pt>
                <c:pt idx="65">
                  <c:v>0.0684999999999999</c:v>
                </c:pt>
                <c:pt idx="66">
                  <c:v>0.0693999999999999</c:v>
                </c:pt>
                <c:pt idx="67">
                  <c:v>0.0702999999999999</c:v>
                </c:pt>
                <c:pt idx="68">
                  <c:v>0.0711999999999999</c:v>
                </c:pt>
                <c:pt idx="69">
                  <c:v>0.0720999999999999</c:v>
                </c:pt>
                <c:pt idx="70">
                  <c:v>0.0729999999999999</c:v>
                </c:pt>
                <c:pt idx="71">
                  <c:v>0.0738999999999999</c:v>
                </c:pt>
                <c:pt idx="72">
                  <c:v>0.0747999999999999</c:v>
                </c:pt>
                <c:pt idx="73">
                  <c:v>0.0756999999999999</c:v>
                </c:pt>
                <c:pt idx="74">
                  <c:v>0.0765999999999999</c:v>
                </c:pt>
                <c:pt idx="75">
                  <c:v>0.0774999999999999</c:v>
                </c:pt>
                <c:pt idx="76">
                  <c:v>0.0783999999999999</c:v>
                </c:pt>
                <c:pt idx="77">
                  <c:v>0.0792999999999999</c:v>
                </c:pt>
                <c:pt idx="78">
                  <c:v>0.0801999999999999</c:v>
                </c:pt>
                <c:pt idx="79">
                  <c:v>0.0810999999999999</c:v>
                </c:pt>
                <c:pt idx="80">
                  <c:v>0.0819999999999999</c:v>
                </c:pt>
                <c:pt idx="81">
                  <c:v>0.0828999999999999</c:v>
                </c:pt>
                <c:pt idx="82">
                  <c:v>0.0837999999999999</c:v>
                </c:pt>
                <c:pt idx="83">
                  <c:v>0.0846999999999999</c:v>
                </c:pt>
                <c:pt idx="84">
                  <c:v>0.0855999999999999</c:v>
                </c:pt>
                <c:pt idx="85">
                  <c:v>0.0864999999999999</c:v>
                </c:pt>
                <c:pt idx="86">
                  <c:v>0.0873999999999999</c:v>
                </c:pt>
                <c:pt idx="87">
                  <c:v>0.0882999999999999</c:v>
                </c:pt>
                <c:pt idx="88">
                  <c:v>0.0891999999999999</c:v>
                </c:pt>
                <c:pt idx="89">
                  <c:v>0.0900999999999999</c:v>
                </c:pt>
                <c:pt idx="90">
                  <c:v>0.0909999999999999</c:v>
                </c:pt>
                <c:pt idx="91">
                  <c:v>0.0918999999999999</c:v>
                </c:pt>
                <c:pt idx="92">
                  <c:v>0.0927999999999999</c:v>
                </c:pt>
                <c:pt idx="93">
                  <c:v>0.0936999999999999</c:v>
                </c:pt>
                <c:pt idx="94">
                  <c:v>0.0945999999999999</c:v>
                </c:pt>
                <c:pt idx="95">
                  <c:v>0.0954999999999999</c:v>
                </c:pt>
                <c:pt idx="96">
                  <c:v>0.0963999999999999</c:v>
                </c:pt>
                <c:pt idx="97">
                  <c:v>0.0972999999999999</c:v>
                </c:pt>
                <c:pt idx="98">
                  <c:v>0.0981999999999999</c:v>
                </c:pt>
                <c:pt idx="99">
                  <c:v>0.0990999999999999</c:v>
                </c:pt>
                <c:pt idx="100">
                  <c:v>0.0999999999999999</c:v>
                </c:pt>
              </c:numCache>
            </c:numRef>
          </c:xVal>
          <c:yVal>
            <c:numRef>
              <c:f>Feuil1!$M$5:$M$105</c:f>
              <c:numCache>
                <c:formatCode>0.00E+00</c:formatCode>
                <c:ptCount val="101"/>
                <c:pt idx="0">
                  <c:v>-1.21131892854564E-14</c:v>
                </c:pt>
                <c:pt idx="1">
                  <c:v>31.07211056766514</c:v>
                </c:pt>
                <c:pt idx="2">
                  <c:v>55.19517015972642</c:v>
                </c:pt>
                <c:pt idx="3">
                  <c:v>74.25847787658046</c:v>
                </c:pt>
                <c:pt idx="4">
                  <c:v>89.54770597875165</c:v>
                </c:pt>
                <c:pt idx="5">
                  <c:v>101.9623646596646</c:v>
                </c:pt>
                <c:pt idx="6">
                  <c:v>112.1470645498938</c:v>
                </c:pt>
                <c:pt idx="7">
                  <c:v>120.5735271711023</c:v>
                </c:pt>
                <c:pt idx="8">
                  <c:v>127.5933848987012</c:v>
                </c:pt>
                <c:pt idx="9">
                  <c:v>133.4730830473512</c:v>
                </c:pt>
                <c:pt idx="10">
                  <c:v>138.4174963122662</c:v>
                </c:pt>
                <c:pt idx="11">
                  <c:v>142.5862453340392</c:v>
                </c:pt>
                <c:pt idx="12">
                  <c:v>146.1051827148251</c:v>
                </c:pt>
                <c:pt idx="13">
                  <c:v>149.0746163464505</c:v>
                </c:pt>
                <c:pt idx="14">
                  <c:v>151.575287807017</c:v>
                </c:pt>
                <c:pt idx="15">
                  <c:v>153.6727798646308</c:v>
                </c:pt>
                <c:pt idx="16">
                  <c:v>155.4208077094795</c:v>
                </c:pt>
                <c:pt idx="17">
                  <c:v>156.8637057025051</c:v>
                </c:pt>
                <c:pt idx="18">
                  <c:v>158.0383267709766</c:v>
                </c:pt>
                <c:pt idx="19">
                  <c:v>158.9755078095859</c:v>
                </c:pt>
                <c:pt idx="20">
                  <c:v>159.7012108256725</c:v>
                </c:pt>
                <c:pt idx="21">
                  <c:v>160.2374193092527</c:v>
                </c:pt>
                <c:pt idx="22">
                  <c:v>160.602848044326</c:v>
                </c:pt>
                <c:pt idx="23">
                  <c:v>160.8135094519392</c:v>
                </c:pt>
                <c:pt idx="24">
                  <c:v>160.8831686734594</c:v>
                </c:pt>
                <c:pt idx="25">
                  <c:v>160.8237116904342</c:v>
                </c:pt>
                <c:pt idx="26">
                  <c:v>160.6454449674216</c:v>
                </c:pt>
                <c:pt idx="27">
                  <c:v>160.357340797848</c:v>
                </c:pt>
                <c:pt idx="28">
                  <c:v>159.9672393130606</c:v>
                </c:pt>
                <c:pt idx="29">
                  <c:v>159.4820156871907</c:v>
                </c:pt>
                <c:pt idx="30">
                  <c:v>158.9077192259395</c:v>
                </c:pt>
                <c:pt idx="31">
                  <c:v>158.2496896155136</c:v>
                </c:pt>
                <c:pt idx="32">
                  <c:v>157.5126545196177</c:v>
                </c:pt>
                <c:pt idx="33">
                  <c:v>156.7008118679229</c:v>
                </c:pt>
                <c:pt idx="34">
                  <c:v>155.8178995199997</c:v>
                </c:pt>
                <c:pt idx="35">
                  <c:v>154.8672544706823</c:v>
                </c:pt>
                <c:pt idx="36">
                  <c:v>153.8518633535597</c:v>
                </c:pt>
                <c:pt idx="37">
                  <c:v>152.774405674177</c:v>
                </c:pt>
                <c:pt idx="38">
                  <c:v>151.6372909449246</c:v>
                </c:pt>
                <c:pt idx="39">
                  <c:v>150.4426906852534</c:v>
                </c:pt>
                <c:pt idx="40">
                  <c:v>149.1925660828778</c:v>
                </c:pt>
                <c:pt idx="41">
                  <c:v>147.8886919755579</c:v>
                </c:pt>
                <c:pt idx="42">
                  <c:v>146.5326777023584</c:v>
                </c:pt>
                <c:pt idx="43">
                  <c:v>145.1259852828537</c:v>
                </c:pt>
                <c:pt idx="44">
                  <c:v>143.6699453085665</c:v>
                </c:pt>
                <c:pt idx="45">
                  <c:v>142.1657708698575</c:v>
                </c:pt>
                <c:pt idx="46">
                  <c:v>140.6145697909984</c:v>
                </c:pt>
                <c:pt idx="47">
                  <c:v>139.0173554042978</c:v>
                </c:pt>
                <c:pt idx="48">
                  <c:v>137.3750560592962</c:v>
                </c:pt>
                <c:pt idx="49">
                  <c:v>135.6885235339535</c:v>
                </c:pt>
                <c:pt idx="50">
                  <c:v>133.9585404903693</c:v>
                </c:pt>
                <c:pt idx="51">
                  <c:v>132.1858270970952</c:v>
                </c:pt>
                <c:pt idx="52">
                  <c:v>130.3710469228307</c:v>
                </c:pt>
                <c:pt idx="53">
                  <c:v>128.5148121917003</c:v>
                </c:pt>
                <c:pt idx="54">
                  <c:v>126.617688477942</c:v>
                </c:pt>
                <c:pt idx="55">
                  <c:v>124.6801989073195</c:v>
                </c:pt>
                <c:pt idx="56">
                  <c:v>122.7028279236161</c:v>
                </c:pt>
                <c:pt idx="57">
                  <c:v>120.6860246709122</c:v>
                </c:pt>
                <c:pt idx="58">
                  <c:v>118.6302060357937</c:v>
                </c:pt>
                <c:pt idx="59">
                  <c:v>116.5357593880168</c:v>
                </c:pt>
                <c:pt idx="60">
                  <c:v>114.4030450533067</c:v>
                </c:pt>
                <c:pt idx="61">
                  <c:v>112.2323985478025</c:v>
                </c:pt>
                <c:pt idx="62">
                  <c:v>110.024132600045</c:v>
                </c:pt>
                <c:pt idx="63">
                  <c:v>107.7785389832861</c:v>
                </c:pt>
                <c:pt idx="64">
                  <c:v>105.4958901781865</c:v>
                </c:pt>
                <c:pt idx="65">
                  <c:v>103.1764408836086</c:v>
                </c:pt>
                <c:pt idx="66">
                  <c:v>100.8204293911629</c:v>
                </c:pt>
                <c:pt idx="67">
                  <c:v>98.42807883736954</c:v>
                </c:pt>
                <c:pt idx="68">
                  <c:v>95.99959834573375</c:v>
                </c:pt>
                <c:pt idx="69">
                  <c:v>93.53518406965662</c:v>
                </c:pt>
                <c:pt idx="70">
                  <c:v>91.03502014590304</c:v>
                </c:pt>
                <c:pt idx="71">
                  <c:v>88.49927956728595</c:v>
                </c:pt>
                <c:pt idx="72">
                  <c:v>85.92812498229582</c:v>
                </c:pt>
                <c:pt idx="73">
                  <c:v>83.32170942858248</c:v>
                </c:pt>
                <c:pt idx="74">
                  <c:v>80.68017700646894</c:v>
                </c:pt>
                <c:pt idx="75">
                  <c:v>78.00366349803653</c:v>
                </c:pt>
                <c:pt idx="76">
                  <c:v>75.29229693675038</c:v>
                </c:pt>
                <c:pt idx="77">
                  <c:v>72.5461981320902</c:v>
                </c:pt>
                <c:pt idx="78">
                  <c:v>69.765481153203</c:v>
                </c:pt>
                <c:pt idx="79">
                  <c:v>66.95025377519515</c:v>
                </c:pt>
                <c:pt idx="80">
                  <c:v>64.10061789132628</c:v>
                </c:pt>
                <c:pt idx="81">
                  <c:v>61.21666989404977</c:v>
                </c:pt>
                <c:pt idx="82">
                  <c:v>58.29850102756264</c:v>
                </c:pt>
                <c:pt idx="83">
                  <c:v>55.3461977142728</c:v>
                </c:pt>
                <c:pt idx="84">
                  <c:v>52.35984185736709</c:v>
                </c:pt>
                <c:pt idx="85">
                  <c:v>49.3395111214575</c:v>
                </c:pt>
                <c:pt idx="86">
                  <c:v>46.28527919310338</c:v>
                </c:pt>
                <c:pt idx="87">
                  <c:v>43.19721602284127</c:v>
                </c:pt>
                <c:pt idx="88">
                  <c:v>40.07538805020787</c:v>
                </c:pt>
                <c:pt idx="89">
                  <c:v>36.91985841310785</c:v>
                </c:pt>
                <c:pt idx="90">
                  <c:v>33.7306871427597</c:v>
                </c:pt>
                <c:pt idx="91">
                  <c:v>30.50793134534291</c:v>
                </c:pt>
                <c:pt idx="92">
                  <c:v>27.25164537137456</c:v>
                </c:pt>
                <c:pt idx="93">
                  <c:v>23.96188097375202</c:v>
                </c:pt>
                <c:pt idx="94">
                  <c:v>20.63868745532184</c:v>
                </c:pt>
                <c:pt idx="95">
                  <c:v>17.28211180675942</c:v>
                </c:pt>
                <c:pt idx="96">
                  <c:v>13.89219883548053</c:v>
                </c:pt>
                <c:pt idx="97">
                  <c:v>10.46899128624508</c:v>
                </c:pt>
                <c:pt idx="98">
                  <c:v>7.012529954058889</c:v>
                </c:pt>
                <c:pt idx="99">
                  <c:v>3.5228537899314</c:v>
                </c:pt>
                <c:pt idx="100">
                  <c:v>5.16829409512806E-13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Feuil1!$N$4</c:f>
              <c:strCache>
                <c:ptCount val="1"/>
                <c:pt idx="0">
                  <c:v>s_t (Mpa)</c:v>
                </c:pt>
              </c:strCache>
            </c:strRef>
          </c:tx>
          <c:marker>
            <c:symbol val="none"/>
          </c:marker>
          <c:xVal>
            <c:numRef>
              <c:f>Feuil1!$L$5:$L$105</c:f>
              <c:numCache>
                <c:formatCode>0.00E+00</c:formatCode>
                <c:ptCount val="101"/>
                <c:pt idx="0">
                  <c:v>0.01</c:v>
                </c:pt>
                <c:pt idx="1">
                  <c:v>0.0109</c:v>
                </c:pt>
                <c:pt idx="2">
                  <c:v>0.0118</c:v>
                </c:pt>
                <c:pt idx="3">
                  <c:v>0.0127</c:v>
                </c:pt>
                <c:pt idx="4">
                  <c:v>0.0136</c:v>
                </c:pt>
                <c:pt idx="5">
                  <c:v>0.0145</c:v>
                </c:pt>
                <c:pt idx="6">
                  <c:v>0.0154</c:v>
                </c:pt>
                <c:pt idx="7">
                  <c:v>0.0163</c:v>
                </c:pt>
                <c:pt idx="8">
                  <c:v>0.0172</c:v>
                </c:pt>
                <c:pt idx="9">
                  <c:v>0.0181</c:v>
                </c:pt>
                <c:pt idx="10">
                  <c:v>0.019</c:v>
                </c:pt>
                <c:pt idx="11">
                  <c:v>0.0199</c:v>
                </c:pt>
                <c:pt idx="12">
                  <c:v>0.0208</c:v>
                </c:pt>
                <c:pt idx="13">
                  <c:v>0.0217</c:v>
                </c:pt>
                <c:pt idx="14">
                  <c:v>0.0226</c:v>
                </c:pt>
                <c:pt idx="15">
                  <c:v>0.0235</c:v>
                </c:pt>
                <c:pt idx="16">
                  <c:v>0.0244</c:v>
                </c:pt>
                <c:pt idx="17">
                  <c:v>0.0253</c:v>
                </c:pt>
                <c:pt idx="18">
                  <c:v>0.0262</c:v>
                </c:pt>
                <c:pt idx="19">
                  <c:v>0.0271</c:v>
                </c:pt>
                <c:pt idx="20">
                  <c:v>0.028</c:v>
                </c:pt>
                <c:pt idx="21">
                  <c:v>0.0289</c:v>
                </c:pt>
                <c:pt idx="22">
                  <c:v>0.0298</c:v>
                </c:pt>
                <c:pt idx="23">
                  <c:v>0.0307</c:v>
                </c:pt>
                <c:pt idx="24">
                  <c:v>0.0316</c:v>
                </c:pt>
                <c:pt idx="25">
                  <c:v>0.0325</c:v>
                </c:pt>
                <c:pt idx="26">
                  <c:v>0.0334</c:v>
                </c:pt>
                <c:pt idx="27">
                  <c:v>0.0343</c:v>
                </c:pt>
                <c:pt idx="28">
                  <c:v>0.0352</c:v>
                </c:pt>
                <c:pt idx="29">
                  <c:v>0.0361</c:v>
                </c:pt>
                <c:pt idx="30">
                  <c:v>0.037</c:v>
                </c:pt>
                <c:pt idx="31">
                  <c:v>0.0379</c:v>
                </c:pt>
                <c:pt idx="32">
                  <c:v>0.0388</c:v>
                </c:pt>
                <c:pt idx="33">
                  <c:v>0.0397</c:v>
                </c:pt>
                <c:pt idx="34">
                  <c:v>0.0406</c:v>
                </c:pt>
                <c:pt idx="35">
                  <c:v>0.0415</c:v>
                </c:pt>
                <c:pt idx="36">
                  <c:v>0.0424</c:v>
                </c:pt>
                <c:pt idx="37">
                  <c:v>0.0433</c:v>
                </c:pt>
                <c:pt idx="38">
                  <c:v>0.0442</c:v>
                </c:pt>
                <c:pt idx="39">
                  <c:v>0.0451</c:v>
                </c:pt>
                <c:pt idx="40">
                  <c:v>0.046</c:v>
                </c:pt>
                <c:pt idx="41">
                  <c:v>0.0469</c:v>
                </c:pt>
                <c:pt idx="42">
                  <c:v>0.0478</c:v>
                </c:pt>
                <c:pt idx="43">
                  <c:v>0.0487</c:v>
                </c:pt>
                <c:pt idx="44">
                  <c:v>0.0496</c:v>
                </c:pt>
                <c:pt idx="45">
                  <c:v>0.0505</c:v>
                </c:pt>
                <c:pt idx="46">
                  <c:v>0.0514</c:v>
                </c:pt>
                <c:pt idx="47">
                  <c:v>0.0523</c:v>
                </c:pt>
                <c:pt idx="48">
                  <c:v>0.0532</c:v>
                </c:pt>
                <c:pt idx="49">
                  <c:v>0.0541</c:v>
                </c:pt>
                <c:pt idx="50">
                  <c:v>0.055</c:v>
                </c:pt>
                <c:pt idx="51">
                  <c:v>0.0559</c:v>
                </c:pt>
                <c:pt idx="52">
                  <c:v>0.0568</c:v>
                </c:pt>
                <c:pt idx="53">
                  <c:v>0.0577</c:v>
                </c:pt>
                <c:pt idx="54">
                  <c:v>0.0586</c:v>
                </c:pt>
                <c:pt idx="55">
                  <c:v>0.0594999999999999</c:v>
                </c:pt>
                <c:pt idx="56">
                  <c:v>0.0603999999999999</c:v>
                </c:pt>
                <c:pt idx="57">
                  <c:v>0.0612999999999999</c:v>
                </c:pt>
                <c:pt idx="58">
                  <c:v>0.0621999999999999</c:v>
                </c:pt>
                <c:pt idx="59">
                  <c:v>0.0630999999999999</c:v>
                </c:pt>
                <c:pt idx="60">
                  <c:v>0.0639999999999999</c:v>
                </c:pt>
                <c:pt idx="61">
                  <c:v>0.0648999999999999</c:v>
                </c:pt>
                <c:pt idx="62">
                  <c:v>0.0657999999999999</c:v>
                </c:pt>
                <c:pt idx="63">
                  <c:v>0.0666999999999999</c:v>
                </c:pt>
                <c:pt idx="64">
                  <c:v>0.0675999999999999</c:v>
                </c:pt>
                <c:pt idx="65">
                  <c:v>0.0684999999999999</c:v>
                </c:pt>
                <c:pt idx="66">
                  <c:v>0.0693999999999999</c:v>
                </c:pt>
                <c:pt idx="67">
                  <c:v>0.0702999999999999</c:v>
                </c:pt>
                <c:pt idx="68">
                  <c:v>0.0711999999999999</c:v>
                </c:pt>
                <c:pt idx="69">
                  <c:v>0.0720999999999999</c:v>
                </c:pt>
                <c:pt idx="70">
                  <c:v>0.0729999999999999</c:v>
                </c:pt>
                <c:pt idx="71">
                  <c:v>0.0738999999999999</c:v>
                </c:pt>
                <c:pt idx="72">
                  <c:v>0.0747999999999999</c:v>
                </c:pt>
                <c:pt idx="73">
                  <c:v>0.0756999999999999</c:v>
                </c:pt>
                <c:pt idx="74">
                  <c:v>0.0765999999999999</c:v>
                </c:pt>
                <c:pt idx="75">
                  <c:v>0.0774999999999999</c:v>
                </c:pt>
                <c:pt idx="76">
                  <c:v>0.0783999999999999</c:v>
                </c:pt>
                <c:pt idx="77">
                  <c:v>0.0792999999999999</c:v>
                </c:pt>
                <c:pt idx="78">
                  <c:v>0.0801999999999999</c:v>
                </c:pt>
                <c:pt idx="79">
                  <c:v>0.0810999999999999</c:v>
                </c:pt>
                <c:pt idx="80">
                  <c:v>0.0819999999999999</c:v>
                </c:pt>
                <c:pt idx="81">
                  <c:v>0.0828999999999999</c:v>
                </c:pt>
                <c:pt idx="82">
                  <c:v>0.0837999999999999</c:v>
                </c:pt>
                <c:pt idx="83">
                  <c:v>0.0846999999999999</c:v>
                </c:pt>
                <c:pt idx="84">
                  <c:v>0.0855999999999999</c:v>
                </c:pt>
                <c:pt idx="85">
                  <c:v>0.0864999999999999</c:v>
                </c:pt>
                <c:pt idx="86">
                  <c:v>0.0873999999999999</c:v>
                </c:pt>
                <c:pt idx="87">
                  <c:v>0.0882999999999999</c:v>
                </c:pt>
                <c:pt idx="88">
                  <c:v>0.0891999999999999</c:v>
                </c:pt>
                <c:pt idx="89">
                  <c:v>0.0900999999999999</c:v>
                </c:pt>
                <c:pt idx="90">
                  <c:v>0.0909999999999999</c:v>
                </c:pt>
                <c:pt idx="91">
                  <c:v>0.0918999999999999</c:v>
                </c:pt>
                <c:pt idx="92">
                  <c:v>0.0927999999999999</c:v>
                </c:pt>
                <c:pt idx="93">
                  <c:v>0.0936999999999999</c:v>
                </c:pt>
                <c:pt idx="94">
                  <c:v>0.0945999999999999</c:v>
                </c:pt>
                <c:pt idx="95">
                  <c:v>0.0954999999999999</c:v>
                </c:pt>
                <c:pt idx="96">
                  <c:v>0.0963999999999999</c:v>
                </c:pt>
                <c:pt idx="97">
                  <c:v>0.0972999999999999</c:v>
                </c:pt>
                <c:pt idx="98">
                  <c:v>0.0981999999999999</c:v>
                </c:pt>
                <c:pt idx="99">
                  <c:v>0.0990999999999999</c:v>
                </c:pt>
                <c:pt idx="100">
                  <c:v>0.0999999999999999</c:v>
                </c:pt>
              </c:numCache>
            </c:numRef>
          </c:xVal>
          <c:yVal>
            <c:numRef>
              <c:f>Feuil1!$N$5:$N$105</c:f>
              <c:numCache>
                <c:formatCode>0.00E+00</c:formatCode>
                <c:ptCount val="101"/>
                <c:pt idx="0">
                  <c:v>398.0851292195906</c:v>
                </c:pt>
                <c:pt idx="1">
                  <c:v>366.4243052763701</c:v>
                </c:pt>
                <c:pt idx="2">
                  <c:v>341.6618297213851</c:v>
                </c:pt>
                <c:pt idx="3">
                  <c:v>321.908403454239</c:v>
                </c:pt>
                <c:pt idx="4">
                  <c:v>305.8783542144074</c:v>
                </c:pt>
                <c:pt idx="5">
                  <c:v>292.6721718084655</c:v>
                </c:pt>
                <c:pt idx="6">
                  <c:v>281.645245605839</c:v>
                </c:pt>
                <c:pt idx="7">
                  <c:v>272.3258540848649</c:v>
                </c:pt>
                <c:pt idx="8">
                  <c:v>264.362364870132</c:v>
                </c:pt>
                <c:pt idx="9">
                  <c:v>257.4883326469795</c:v>
                </c:pt>
                <c:pt idx="10">
                  <c:v>251.4988827201936</c:v>
                </c:pt>
                <c:pt idx="11">
                  <c:v>246.2343944491813</c:v>
                </c:pt>
                <c:pt idx="12">
                  <c:v>241.5690152317877</c:v>
                </c:pt>
                <c:pt idx="13">
                  <c:v>237.4024371761863</c:v>
                </c:pt>
                <c:pt idx="14">
                  <c:v>233.6539187042754</c:v>
                </c:pt>
                <c:pt idx="15">
                  <c:v>230.2578770479487</c:v>
                </c:pt>
                <c:pt idx="16">
                  <c:v>227.1605970170187</c:v>
                </c:pt>
                <c:pt idx="17">
                  <c:v>224.3177442505434</c:v>
                </c:pt>
                <c:pt idx="18">
                  <c:v>221.692465821254</c:v>
                </c:pt>
                <c:pt idx="19">
                  <c:v>219.2539248344581</c:v>
                </c:pt>
                <c:pt idx="20">
                  <c:v>216.9761592828167</c:v>
                </c:pt>
                <c:pt idx="21">
                  <c:v>214.8371856763133</c:v>
                </c:pt>
                <c:pt idx="22">
                  <c:v>212.8182892309483</c:v>
                </c:pt>
                <c:pt idx="23">
                  <c:v>210.9034575256751</c:v>
                </c:pt>
                <c:pt idx="24">
                  <c:v>209.0789254191265</c:v>
                </c:pt>
                <c:pt idx="25">
                  <c:v>207.3328069297548</c:v>
                </c:pt>
                <c:pt idx="26">
                  <c:v>205.6547955930022</c:v>
                </c:pt>
                <c:pt idx="27">
                  <c:v>204.0359191154422</c:v>
                </c:pt>
                <c:pt idx="28">
                  <c:v>202.4683373657275</c:v>
                </c:pt>
                <c:pt idx="29">
                  <c:v>200.945175169727</c:v>
                </c:pt>
                <c:pt idx="30">
                  <c:v>199.4603832217394</c:v>
                </c:pt>
                <c:pt idx="31">
                  <c:v>198.0086218355581</c:v>
                </c:pt>
                <c:pt idx="32">
                  <c:v>196.5851633474784</c:v>
                </c:pt>
                <c:pt idx="33">
                  <c:v>195.1858098278292</c:v>
                </c:pt>
                <c:pt idx="34">
                  <c:v>193.80682341704</c:v>
                </c:pt>
                <c:pt idx="35">
                  <c:v>192.4448671202765</c:v>
                </c:pt>
                <c:pt idx="36">
                  <c:v>191.09695430395</c:v>
                </c:pt>
                <c:pt idx="37">
                  <c:v>189.760405462515</c:v>
                </c:pt>
                <c:pt idx="38">
                  <c:v>188.4328110835815</c:v>
                </c:pt>
                <c:pt idx="39">
                  <c:v>187.1119996476983</c:v>
                </c:pt>
                <c:pt idx="40">
                  <c:v>185.7960099671511</c:v>
                </c:pt>
                <c:pt idx="41">
                  <c:v>184.4830672041798</c:v>
                </c:pt>
                <c:pt idx="42">
                  <c:v>183.1715620197197</c:v>
                </c:pt>
                <c:pt idx="43">
                  <c:v>181.8600323941964</c:v>
                </c:pt>
                <c:pt idx="44">
                  <c:v>180.5471477360872</c:v>
                </c:pt>
                <c:pt idx="45">
                  <c:v>179.2316949550315</c:v>
                </c:pt>
                <c:pt idx="46">
                  <c:v>177.9125662267573</c:v>
                </c:pt>
                <c:pt idx="47">
                  <c:v>176.5887482189563</c:v>
                </c:pt>
                <c:pt idx="48">
                  <c:v>175.259312582088</c:v>
                </c:pt>
                <c:pt idx="49">
                  <c:v>173.9234075381924</c:v>
                </c:pt>
                <c:pt idx="50">
                  <c:v>172.5802504251698</c:v>
                </c:pt>
                <c:pt idx="51">
                  <c:v>171.2291210744687</c:v>
                </c:pt>
                <c:pt idx="52">
                  <c:v>169.8693559173896</c:v>
                </c:pt>
                <c:pt idx="53">
                  <c:v>168.500342729808</c:v>
                </c:pt>
                <c:pt idx="54">
                  <c:v>167.121515937486</c:v>
                </c:pt>
                <c:pt idx="55">
                  <c:v>165.7323524146597</c:v>
                </c:pt>
                <c:pt idx="56">
                  <c:v>164.332367717546</c:v>
                </c:pt>
                <c:pt idx="57">
                  <c:v>162.9211127020643</c:v>
                </c:pt>
                <c:pt idx="58">
                  <c:v>161.4981704816289</c:v>
                </c:pt>
                <c:pt idx="59">
                  <c:v>160.0631536864834</c:v>
                </c:pt>
                <c:pt idx="60">
                  <c:v>158.6157019909028</c:v>
                </c:pt>
                <c:pt idx="61">
                  <c:v>157.1554798787478</c:v>
                </c:pt>
                <c:pt idx="62">
                  <c:v>155.6821746214777</c:v>
                </c:pt>
                <c:pt idx="63">
                  <c:v>154.1954944458407</c:v>
                </c:pt>
                <c:pt idx="64">
                  <c:v>152.695166871176</c:v>
                </c:pt>
                <c:pt idx="65">
                  <c:v>151.1809371986212</c:v>
                </c:pt>
                <c:pt idx="66">
                  <c:v>149.6525671365658</c:v>
                </c:pt>
                <c:pt idx="67">
                  <c:v>148.1098335484895</c:v>
                </c:pt>
                <c:pt idx="68">
                  <c:v>146.5525273108874</c:v>
                </c:pt>
                <c:pt idx="69">
                  <c:v>144.9804522703582</c:v>
                </c:pt>
                <c:pt idx="70">
                  <c:v>143.3934242901371</c:v>
                </c:pt>
                <c:pt idx="71">
                  <c:v>141.7912703774111</c:v>
                </c:pt>
                <c:pt idx="72">
                  <c:v>140.1738278836897</c:v>
                </c:pt>
                <c:pt idx="73">
                  <c:v>138.5409437713231</c:v>
                </c:pt>
                <c:pt idx="74">
                  <c:v>136.8924739399883</c:v>
                </c:pt>
                <c:pt idx="75">
                  <c:v>135.2282826076041</c:v>
                </c:pt>
                <c:pt idx="76">
                  <c:v>133.5482417407051</c:v>
                </c:pt>
                <c:pt idx="77">
                  <c:v>131.8522305298118</c:v>
                </c:pt>
                <c:pt idx="78">
                  <c:v>130.1401349057771</c:v>
                </c:pt>
                <c:pt idx="79">
                  <c:v>128.4118470934946</c:v>
                </c:pt>
                <c:pt idx="80">
                  <c:v>126.6672651997048</c:v>
                </c:pt>
                <c:pt idx="81">
                  <c:v>124.9062928319542</c:v>
                </c:pt>
                <c:pt idx="82">
                  <c:v>123.1288387460458</c:v>
                </c:pt>
                <c:pt idx="83">
                  <c:v>121.3348165195718</c:v>
                </c:pt>
                <c:pt idx="84">
                  <c:v>119.5241442493452</c:v>
                </c:pt>
                <c:pt idx="85">
                  <c:v>117.6967442707541</c:v>
                </c:pt>
                <c:pt idx="86">
                  <c:v>115.8525428972391</c:v>
                </c:pt>
                <c:pt idx="87">
                  <c:v>113.9914701782638</c:v>
                </c:pt>
                <c:pt idx="88">
                  <c:v>112.1134596742913</c:v>
                </c:pt>
                <c:pt idx="89">
                  <c:v>110.218448247417</c:v>
                </c:pt>
                <c:pt idx="90">
                  <c:v>108.3063758664226</c:v>
                </c:pt>
                <c:pt idx="91">
                  <c:v>106.3771854251282</c:v>
                </c:pt>
                <c:pt idx="92">
                  <c:v>104.4308225730172</c:v>
                </c:pt>
                <c:pt idx="93">
                  <c:v>102.4672355571918</c:v>
                </c:pt>
                <c:pt idx="94">
                  <c:v>100.4863750748057</c:v>
                </c:pt>
                <c:pt idx="95">
                  <c:v>98.48819413518348</c:v>
                </c:pt>
                <c:pt idx="96">
                  <c:v>96.47264793090932</c:v>
                </c:pt>
                <c:pt idx="97">
                  <c:v>94.43969371722333</c:v>
                </c:pt>
                <c:pt idx="98">
                  <c:v>92.38929069911966</c:v>
                </c:pt>
                <c:pt idx="99">
                  <c:v>90.32139992558888</c:v>
                </c:pt>
                <c:pt idx="100">
                  <c:v>88.23598419049313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Feuil1!$O$4</c:f>
              <c:strCache>
                <c:ptCount val="1"/>
                <c:pt idx="0">
                  <c:v>Mises</c:v>
                </c:pt>
              </c:strCache>
            </c:strRef>
          </c:tx>
          <c:marker>
            <c:symbol val="none"/>
          </c:marker>
          <c:xVal>
            <c:numRef>
              <c:f>Feuil1!$L$5:$L$105</c:f>
              <c:numCache>
                <c:formatCode>0.00E+00</c:formatCode>
                <c:ptCount val="101"/>
                <c:pt idx="0">
                  <c:v>0.01</c:v>
                </c:pt>
                <c:pt idx="1">
                  <c:v>0.0109</c:v>
                </c:pt>
                <c:pt idx="2">
                  <c:v>0.0118</c:v>
                </c:pt>
                <c:pt idx="3">
                  <c:v>0.0127</c:v>
                </c:pt>
                <c:pt idx="4">
                  <c:v>0.0136</c:v>
                </c:pt>
                <c:pt idx="5">
                  <c:v>0.0145</c:v>
                </c:pt>
                <c:pt idx="6">
                  <c:v>0.0154</c:v>
                </c:pt>
                <c:pt idx="7">
                  <c:v>0.0163</c:v>
                </c:pt>
                <c:pt idx="8">
                  <c:v>0.0172</c:v>
                </c:pt>
                <c:pt idx="9">
                  <c:v>0.0181</c:v>
                </c:pt>
                <c:pt idx="10">
                  <c:v>0.019</c:v>
                </c:pt>
                <c:pt idx="11">
                  <c:v>0.0199</c:v>
                </c:pt>
                <c:pt idx="12">
                  <c:v>0.0208</c:v>
                </c:pt>
                <c:pt idx="13">
                  <c:v>0.0217</c:v>
                </c:pt>
                <c:pt idx="14">
                  <c:v>0.0226</c:v>
                </c:pt>
                <c:pt idx="15">
                  <c:v>0.0235</c:v>
                </c:pt>
                <c:pt idx="16">
                  <c:v>0.0244</c:v>
                </c:pt>
                <c:pt idx="17">
                  <c:v>0.0253</c:v>
                </c:pt>
                <c:pt idx="18">
                  <c:v>0.0262</c:v>
                </c:pt>
                <c:pt idx="19">
                  <c:v>0.0271</c:v>
                </c:pt>
                <c:pt idx="20">
                  <c:v>0.028</c:v>
                </c:pt>
                <c:pt idx="21">
                  <c:v>0.0289</c:v>
                </c:pt>
                <c:pt idx="22">
                  <c:v>0.0298</c:v>
                </c:pt>
                <c:pt idx="23">
                  <c:v>0.0307</c:v>
                </c:pt>
                <c:pt idx="24">
                  <c:v>0.0316</c:v>
                </c:pt>
                <c:pt idx="25">
                  <c:v>0.0325</c:v>
                </c:pt>
                <c:pt idx="26">
                  <c:v>0.0334</c:v>
                </c:pt>
                <c:pt idx="27">
                  <c:v>0.0343</c:v>
                </c:pt>
                <c:pt idx="28">
                  <c:v>0.0352</c:v>
                </c:pt>
                <c:pt idx="29">
                  <c:v>0.0361</c:v>
                </c:pt>
                <c:pt idx="30">
                  <c:v>0.037</c:v>
                </c:pt>
                <c:pt idx="31">
                  <c:v>0.0379</c:v>
                </c:pt>
                <c:pt idx="32">
                  <c:v>0.0388</c:v>
                </c:pt>
                <c:pt idx="33">
                  <c:v>0.0397</c:v>
                </c:pt>
                <c:pt idx="34">
                  <c:v>0.0406</c:v>
                </c:pt>
                <c:pt idx="35">
                  <c:v>0.0415</c:v>
                </c:pt>
                <c:pt idx="36">
                  <c:v>0.0424</c:v>
                </c:pt>
                <c:pt idx="37">
                  <c:v>0.0433</c:v>
                </c:pt>
                <c:pt idx="38">
                  <c:v>0.0442</c:v>
                </c:pt>
                <c:pt idx="39">
                  <c:v>0.0451</c:v>
                </c:pt>
                <c:pt idx="40">
                  <c:v>0.046</c:v>
                </c:pt>
                <c:pt idx="41">
                  <c:v>0.0469</c:v>
                </c:pt>
                <c:pt idx="42">
                  <c:v>0.0478</c:v>
                </c:pt>
                <c:pt idx="43">
                  <c:v>0.0487</c:v>
                </c:pt>
                <c:pt idx="44">
                  <c:v>0.0496</c:v>
                </c:pt>
                <c:pt idx="45">
                  <c:v>0.0505</c:v>
                </c:pt>
                <c:pt idx="46">
                  <c:v>0.0514</c:v>
                </c:pt>
                <c:pt idx="47">
                  <c:v>0.0523</c:v>
                </c:pt>
                <c:pt idx="48">
                  <c:v>0.0532</c:v>
                </c:pt>
                <c:pt idx="49">
                  <c:v>0.0541</c:v>
                </c:pt>
                <c:pt idx="50">
                  <c:v>0.055</c:v>
                </c:pt>
                <c:pt idx="51">
                  <c:v>0.0559</c:v>
                </c:pt>
                <c:pt idx="52">
                  <c:v>0.0568</c:v>
                </c:pt>
                <c:pt idx="53">
                  <c:v>0.0577</c:v>
                </c:pt>
                <c:pt idx="54">
                  <c:v>0.0586</c:v>
                </c:pt>
                <c:pt idx="55">
                  <c:v>0.0594999999999999</c:v>
                </c:pt>
                <c:pt idx="56">
                  <c:v>0.0603999999999999</c:v>
                </c:pt>
                <c:pt idx="57">
                  <c:v>0.0612999999999999</c:v>
                </c:pt>
                <c:pt idx="58">
                  <c:v>0.0621999999999999</c:v>
                </c:pt>
                <c:pt idx="59">
                  <c:v>0.0630999999999999</c:v>
                </c:pt>
                <c:pt idx="60">
                  <c:v>0.0639999999999999</c:v>
                </c:pt>
                <c:pt idx="61">
                  <c:v>0.0648999999999999</c:v>
                </c:pt>
                <c:pt idx="62">
                  <c:v>0.0657999999999999</c:v>
                </c:pt>
                <c:pt idx="63">
                  <c:v>0.0666999999999999</c:v>
                </c:pt>
                <c:pt idx="64">
                  <c:v>0.0675999999999999</c:v>
                </c:pt>
                <c:pt idx="65">
                  <c:v>0.0684999999999999</c:v>
                </c:pt>
                <c:pt idx="66">
                  <c:v>0.0693999999999999</c:v>
                </c:pt>
                <c:pt idx="67">
                  <c:v>0.0702999999999999</c:v>
                </c:pt>
                <c:pt idx="68">
                  <c:v>0.0711999999999999</c:v>
                </c:pt>
                <c:pt idx="69">
                  <c:v>0.0720999999999999</c:v>
                </c:pt>
                <c:pt idx="70">
                  <c:v>0.0729999999999999</c:v>
                </c:pt>
                <c:pt idx="71">
                  <c:v>0.0738999999999999</c:v>
                </c:pt>
                <c:pt idx="72">
                  <c:v>0.0747999999999999</c:v>
                </c:pt>
                <c:pt idx="73">
                  <c:v>0.0756999999999999</c:v>
                </c:pt>
                <c:pt idx="74">
                  <c:v>0.0765999999999999</c:v>
                </c:pt>
                <c:pt idx="75">
                  <c:v>0.0774999999999999</c:v>
                </c:pt>
                <c:pt idx="76">
                  <c:v>0.0783999999999999</c:v>
                </c:pt>
                <c:pt idx="77">
                  <c:v>0.0792999999999999</c:v>
                </c:pt>
                <c:pt idx="78">
                  <c:v>0.0801999999999999</c:v>
                </c:pt>
                <c:pt idx="79">
                  <c:v>0.0810999999999999</c:v>
                </c:pt>
                <c:pt idx="80">
                  <c:v>0.0819999999999999</c:v>
                </c:pt>
                <c:pt idx="81">
                  <c:v>0.0828999999999999</c:v>
                </c:pt>
                <c:pt idx="82">
                  <c:v>0.0837999999999999</c:v>
                </c:pt>
                <c:pt idx="83">
                  <c:v>0.0846999999999999</c:v>
                </c:pt>
                <c:pt idx="84">
                  <c:v>0.0855999999999999</c:v>
                </c:pt>
                <c:pt idx="85">
                  <c:v>0.0864999999999999</c:v>
                </c:pt>
                <c:pt idx="86">
                  <c:v>0.0873999999999999</c:v>
                </c:pt>
                <c:pt idx="87">
                  <c:v>0.0882999999999999</c:v>
                </c:pt>
                <c:pt idx="88">
                  <c:v>0.0891999999999999</c:v>
                </c:pt>
                <c:pt idx="89">
                  <c:v>0.0900999999999999</c:v>
                </c:pt>
                <c:pt idx="90">
                  <c:v>0.0909999999999999</c:v>
                </c:pt>
                <c:pt idx="91">
                  <c:v>0.0918999999999999</c:v>
                </c:pt>
                <c:pt idx="92">
                  <c:v>0.0927999999999999</c:v>
                </c:pt>
                <c:pt idx="93">
                  <c:v>0.0936999999999999</c:v>
                </c:pt>
                <c:pt idx="94">
                  <c:v>0.0945999999999999</c:v>
                </c:pt>
                <c:pt idx="95">
                  <c:v>0.0954999999999999</c:v>
                </c:pt>
                <c:pt idx="96">
                  <c:v>0.0963999999999999</c:v>
                </c:pt>
                <c:pt idx="97">
                  <c:v>0.0972999999999999</c:v>
                </c:pt>
                <c:pt idx="98">
                  <c:v>0.0981999999999999</c:v>
                </c:pt>
                <c:pt idx="99">
                  <c:v>0.0990999999999999</c:v>
                </c:pt>
                <c:pt idx="100">
                  <c:v>0.0999999999999999</c:v>
                </c:pt>
              </c:numCache>
            </c:numRef>
          </c:xVal>
          <c:yVal>
            <c:numRef>
              <c:f>Feuil1!$O$5:$O$105</c:f>
              <c:numCache>
                <c:formatCode>General</c:formatCode>
                <c:ptCount val="101"/>
                <c:pt idx="0">
                  <c:v>398.0851292195906</c:v>
                </c:pt>
                <c:pt idx="1">
                  <c:v>351.9185573739646</c:v>
                </c:pt>
                <c:pt idx="2">
                  <c:v>317.6810190568058</c:v>
                </c:pt>
                <c:pt idx="3">
                  <c:v>291.9501904346215</c:v>
                </c:pt>
                <c:pt idx="4">
                  <c:v>272.3777786356942</c:v>
                </c:pt>
                <c:pt idx="5">
                  <c:v>257.3164923793334</c:v>
                </c:pt>
                <c:pt idx="6">
                  <c:v>245.5917769804248</c:v>
                </c:pt>
                <c:pt idx="7">
                  <c:v>236.3557858200991</c:v>
                </c:pt>
                <c:pt idx="8">
                  <c:v>228.9904863876035</c:v>
                </c:pt>
                <c:pt idx="9">
                  <c:v>223.0415740178776</c:v>
                </c:pt>
                <c:pt idx="10">
                  <c:v>218.1725134461269</c:v>
                </c:pt>
                <c:pt idx="11">
                  <c:v>214.1321474968303</c:v>
                </c:pt>
                <c:pt idx="12">
                  <c:v>210.7316502747212</c:v>
                </c:pt>
                <c:pt idx="13">
                  <c:v>207.8280086376285</c:v>
                </c:pt>
                <c:pt idx="14">
                  <c:v>205.3121078378143</c:v>
                </c:pt>
                <c:pt idx="15">
                  <c:v>203.100086563903</c:v>
                </c:pt>
                <c:pt idx="16">
                  <c:v>201.1270266225868</c:v>
                </c:pt>
                <c:pt idx="17">
                  <c:v>199.3423184735426</c:v>
                </c:pt>
                <c:pt idx="18">
                  <c:v>197.7062360532791</c:v>
                </c:pt>
                <c:pt idx="19">
                  <c:v>196.1873889902895</c:v>
                </c:pt>
                <c:pt idx="20">
                  <c:v>194.7608150489681</c:v>
                </c:pt>
                <c:pt idx="21">
                  <c:v>193.4065425257708</c:v>
                </c:pt>
                <c:pt idx="22">
                  <c:v>192.1084997201452</c:v>
                </c:pt>
                <c:pt idx="23">
                  <c:v>190.8536823283254</c:v>
                </c:pt>
                <c:pt idx="24">
                  <c:v>189.6315137116152</c:v>
                </c:pt>
                <c:pt idx="25">
                  <c:v>188.4333503008943</c:v>
                </c:pt>
                <c:pt idx="26">
                  <c:v>187.2520968946901</c:v>
                </c:pt>
                <c:pt idx="27">
                  <c:v>186.0819056771596</c:v>
                </c:pt>
                <c:pt idx="28">
                  <c:v>184.9179394011929</c:v>
                </c:pt>
                <c:pt idx="29">
                  <c:v>183.7561840400424</c:v>
                </c:pt>
                <c:pt idx="30">
                  <c:v>182.5932997972672</c:v>
                </c:pt>
                <c:pt idx="31">
                  <c:v>181.426502027545</c:v>
                </c:pt>
                <c:pt idx="32">
                  <c:v>180.2534656092282</c:v>
                </c:pt>
                <c:pt idx="33">
                  <c:v>179.0722478026476</c:v>
                </c:pt>
                <c:pt idx="34">
                  <c:v>177.881225755676</c:v>
                </c:pt>
                <c:pt idx="35">
                  <c:v>176.67904567417</c:v>
                </c:pt>
                <c:pt idx="36">
                  <c:v>175.464581328414</c:v>
                </c:pt>
                <c:pt idx="37">
                  <c:v>174.2369000681817</c:v>
                </c:pt>
                <c:pt idx="38">
                  <c:v>172.995234905836</c:v>
                </c:pt>
                <c:pt idx="39">
                  <c:v>171.7389615267344</c:v>
                </c:pt>
                <c:pt idx="40">
                  <c:v>170.4675793197884</c:v>
                </c:pt>
                <c:pt idx="41">
                  <c:v>169.1806957038488</c:v>
                </c:pt>
                <c:pt idx="42">
                  <c:v>167.8780131693669</c:v>
                </c:pt>
                <c:pt idx="43">
                  <c:v>166.5593185683641</c:v>
                </c:pt>
                <c:pt idx="44">
                  <c:v>165.2244742758822</c:v>
                </c:pt>
                <c:pt idx="45">
                  <c:v>163.8734109179432</c:v>
                </c:pt>
                <c:pt idx="46">
                  <c:v>162.5061214185788</c:v>
                </c:pt>
                <c:pt idx="47">
                  <c:v>161.1226561647619</c:v>
                </c:pt>
                <c:pt idx="48">
                  <c:v>159.7231191254502</c:v>
                </c:pt>
                <c:pt idx="49">
                  <c:v>158.3076647912823</c:v>
                </c:pt>
                <c:pt idx="50">
                  <c:v>156.8764958261946</c:v>
                </c:pt>
                <c:pt idx="51">
                  <c:v>155.4298613424747</c:v>
                </c:pt>
                <c:pt idx="52">
                  <c:v>153.9680557274355</c:v>
                </c:pt>
                <c:pt idx="53">
                  <c:v>152.4914179636754</c:v>
                </c:pt>
                <c:pt idx="54">
                  <c:v>151.0003313963467</c:v>
                </c:pt>
                <c:pt idx="55">
                  <c:v>149.4952239104245</c:v>
                </c:pt>
                <c:pt idx="56">
                  <c:v>147.9765684890038</c:v>
                </c:pt>
                <c:pt idx="57">
                  <c:v>146.4448841304228</c:v>
                </c:pt>
                <c:pt idx="58">
                  <c:v>144.9007371077482</c:v>
                </c:pt>
                <c:pt idx="59">
                  <c:v>143.3447425590118</c:v>
                </c:pt>
                <c:pt idx="60">
                  <c:v>141.7775664007134</c:v>
                </c:pt>
                <c:pt idx="61">
                  <c:v>140.1999275605715</c:v>
                </c:pt>
                <c:pt idx="62">
                  <c:v>138.612600528407</c:v>
                </c:pt>
                <c:pt idx="63">
                  <c:v>137.0164182263969</c:v>
                </c:pt>
                <c:pt idx="64">
                  <c:v>135.4122752017808</c:v>
                </c:pt>
                <c:pt idx="65">
                  <c:v>133.801131146415</c:v>
                </c:pt>
                <c:pt idx="66">
                  <c:v>132.1840147483212</c:v>
                </c:pt>
                <c:pt idx="67">
                  <c:v>130.56202788053</c:v>
                </c:pt>
                <c:pt idx="68">
                  <c:v>128.9363501319672</c:v>
                </c:pt>
                <c:pt idx="69">
                  <c:v>127.3082436837935</c:v>
                </c:pt>
                <c:pt idx="70">
                  <c:v>125.6790585323331</c:v>
                </c:pt>
                <c:pt idx="71">
                  <c:v>124.050238056352</c:v>
                </c:pt>
                <c:pt idx="72">
                  <c:v>122.4233249217763</c:v>
                </c:pt>
                <c:pt idx="73">
                  <c:v>120.7999673107335</c:v>
                </c:pt>
                <c:pt idx="74">
                  <c:v>119.1819254537946</c:v>
                </c:pt>
                <c:pt idx="75">
                  <c:v>117.5710784341796</c:v>
                </c:pt>
                <c:pt idx="76">
                  <c:v>115.9694312201431</c:v>
                </c:pt>
                <c:pt idx="77">
                  <c:v>114.37912186642</c:v>
                </c:pt>
                <c:pt idx="78">
                  <c:v>112.8024288071294</c:v>
                </c:pt>
                <c:pt idx="79">
                  <c:v>111.2417781405667</c:v>
                </c:pt>
                <c:pt idx="80">
                  <c:v>109.6997507805583</c:v>
                </c:pt>
                <c:pt idx="81">
                  <c:v>108.1790893193121</c:v>
                </c:pt>
                <c:pt idx="82">
                  <c:v>106.6827044129063</c:v>
                </c:pt>
                <c:pt idx="83">
                  <c:v>105.2136804628956</c:v>
                </c:pt>
                <c:pt idx="84">
                  <c:v>103.7752803264531</c:v>
                </c:pt>
                <c:pt idx="85">
                  <c:v>102.3709487439357</c:v>
                </c:pt>
                <c:pt idx="86">
                  <c:v>101.0043141282117</c:v>
                </c:pt>
                <c:pt idx="87">
                  <c:v>99.6791883166907</c:v>
                </c:pt>
                <c:pt idx="88">
                  <c:v>98.39956384768748</c:v>
                </c:pt>
                <c:pt idx="89">
                  <c:v>97.16960829140656</c:v>
                </c:pt>
                <c:pt idx="90">
                  <c:v>95.99365514722883</c:v>
                </c:pt>
                <c:pt idx="91">
                  <c:v>94.87619081879102</c:v>
                </c:pt>
                <c:pt idx="92">
                  <c:v>93.82183720287803</c:v>
                </c:pt>
                <c:pt idx="93">
                  <c:v>92.83532948399788</c:v>
                </c:pt>
                <c:pt idx="94">
                  <c:v>91.92148881989367</c:v>
                </c:pt>
                <c:pt idx="95">
                  <c:v>91.0851897391714</c:v>
                </c:pt>
                <c:pt idx="96">
                  <c:v>90.33132225338123</c:v>
                </c:pt>
                <c:pt idx="97">
                  <c:v>89.66474891144881</c:v>
                </c:pt>
                <c:pt idx="98">
                  <c:v>89.09025728878091</c:v>
                </c:pt>
                <c:pt idx="99">
                  <c:v>88.6125086954637</c:v>
                </c:pt>
                <c:pt idx="100">
                  <c:v>88.23598419049287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4391640"/>
        <c:axId val="414394728"/>
      </c:scatterChart>
      <c:valAx>
        <c:axId val="414391640"/>
        <c:scaling>
          <c:orientation val="minMax"/>
        </c:scaling>
        <c:delete val="0"/>
        <c:axPos val="b"/>
        <c:numFmt formatCode="0.00E+00" sourceLinked="1"/>
        <c:majorTickMark val="out"/>
        <c:minorTickMark val="none"/>
        <c:tickLblPos val="nextTo"/>
        <c:crossAx val="414394728"/>
        <c:crosses val="autoZero"/>
        <c:crossBetween val="midCat"/>
      </c:valAx>
      <c:valAx>
        <c:axId val="414394728"/>
        <c:scaling>
          <c:orientation val="minMax"/>
        </c:scaling>
        <c:delete val="0"/>
        <c:axPos val="l"/>
        <c:majorGridlines/>
        <c:numFmt formatCode="0.00E+00" sourceLinked="1"/>
        <c:majorTickMark val="out"/>
        <c:minorTickMark val="none"/>
        <c:tickLblPos val="nextTo"/>
        <c:crossAx val="4143916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177800</xdr:colOff>
      <xdr:row>3</xdr:row>
      <xdr:rowOff>146050</xdr:rowOff>
    </xdr:from>
    <xdr:to>
      <xdr:col>25</xdr:col>
      <xdr:colOff>330200</xdr:colOff>
      <xdr:row>30</xdr:row>
      <xdr:rowOff>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5"/>
  <sheetViews>
    <sheetView tabSelected="1" zoomScale="200" zoomScaleNormal="200" zoomScalePageLayoutView="200" workbookViewId="0">
      <selection activeCell="H33" sqref="H33"/>
    </sheetView>
  </sheetViews>
  <sheetFormatPr baseColWidth="10" defaultRowHeight="15" x14ac:dyDescent="0"/>
  <cols>
    <col min="1" max="1" width="19" customWidth="1"/>
    <col min="3" max="3" width="2.83203125" customWidth="1"/>
    <col min="4" max="4" width="19.1640625" customWidth="1"/>
    <col min="5" max="5" width="12.1640625" bestFit="1" customWidth="1"/>
    <col min="6" max="6" width="3.83203125" customWidth="1"/>
    <col min="7" max="7" width="18.1640625" customWidth="1"/>
  </cols>
  <sheetData>
    <row r="2" spans="1:15" ht="20">
      <c r="A2" s="5" t="s">
        <v>0</v>
      </c>
    </row>
    <row r="4" spans="1:15">
      <c r="A4" s="3" t="s">
        <v>19</v>
      </c>
      <c r="D4" s="4" t="s">
        <v>25</v>
      </c>
      <c r="G4" s="4" t="s">
        <v>40</v>
      </c>
      <c r="L4" s="2" t="s">
        <v>11</v>
      </c>
      <c r="M4" t="s">
        <v>12</v>
      </c>
      <c r="N4" t="s">
        <v>13</v>
      </c>
      <c r="O4" t="s">
        <v>14</v>
      </c>
    </row>
    <row r="5" spans="1:15">
      <c r="A5" s="6" t="s">
        <v>20</v>
      </c>
      <c r="B5" s="6">
        <v>1000</v>
      </c>
      <c r="D5" s="10" t="s">
        <v>24</v>
      </c>
      <c r="E5" s="10">
        <v>0.9</v>
      </c>
      <c r="G5" s="6" t="s">
        <v>28</v>
      </c>
      <c r="H5" s="13">
        <v>0.9</v>
      </c>
      <c r="K5">
        <v>0</v>
      </c>
      <c r="L5" s="1">
        <f>B10</f>
        <v>0.01</v>
      </c>
      <c r="M5" s="1">
        <f>$E$12*($I$10^2)*(3+$E$11)/8*(($B$10^2)+($B$11^2)-($B$10^2*$B$11^2/(L5^2)) -L5^2)/1000000</f>
        <v>-1.2113189285456388E-14</v>
      </c>
      <c r="N5" s="7">
        <f>$E$12*($I$10^2)*(3+$E$11)/8*(($B$10^2)+($B$11^2)+($B$10^2*$B$11^2/(L5^2)) -((3*$E$11+1)/(3+$E$11)*L5^2))/(1000000)</f>
        <v>398.08512921959061</v>
      </c>
      <c r="O5">
        <f>(0.5*(M5^2+N5^2+(N5-M5)^2))^0.5</f>
        <v>398.08512921959061</v>
      </c>
    </row>
    <row r="6" spans="1:15">
      <c r="A6" s="6" t="s">
        <v>21</v>
      </c>
      <c r="B6" s="6">
        <v>110</v>
      </c>
      <c r="D6" t="s">
        <v>22</v>
      </c>
      <c r="E6" s="1">
        <f>B7*E5</f>
        <v>420138.88888888893</v>
      </c>
      <c r="G6" t="s">
        <v>22</v>
      </c>
      <c r="H6" s="1">
        <f>E6*H5</f>
        <v>378125.00000000006</v>
      </c>
      <c r="K6">
        <f>K5+1</f>
        <v>1</v>
      </c>
      <c r="L6" s="1">
        <f>L5+($B$11-$B$10)/100</f>
        <v>1.09E-2</v>
      </c>
      <c r="M6" s="1">
        <f>$E$12*($I$10^2)*(3+$E$11)/8*(($B$10^2)+($B$11^2)-($B$10^2*$B$11^2/(L6^2)) -L6^2)/1000000</f>
        <v>31.072110567665142</v>
      </c>
      <c r="N6" s="1">
        <f>$E$12*($I$10^2)*(3+$E$11)/8*(($B$10^2)+($B$11^2)+($B$10^2*$B$11^2/(L6^2)) -((3*$E$11+1)/(3+$E$11)*L6^2))/(1000000)</f>
        <v>366.42430527637015</v>
      </c>
      <c r="O6">
        <f t="shared" ref="O6:O69" si="0">(0.5*(M6^2+N6^2+(N6-M6)^2))^0.5</f>
        <v>351.91855737396463</v>
      </c>
    </row>
    <row r="7" spans="1:15">
      <c r="A7" t="s">
        <v>22</v>
      </c>
      <c r="B7" s="1">
        <f>0.5*B5*(B6*1000/3600)^2</f>
        <v>466820.98765432101</v>
      </c>
      <c r="D7" t="s">
        <v>23</v>
      </c>
      <c r="E7" s="1">
        <f>E6/3600000</f>
        <v>0.11670524691358027</v>
      </c>
      <c r="G7" t="s">
        <v>23</v>
      </c>
      <c r="H7" s="1">
        <f>H6/3600000</f>
        <v>0.10503472222222224</v>
      </c>
      <c r="K7">
        <f t="shared" ref="K7:K70" si="1">K6+1</f>
        <v>2</v>
      </c>
      <c r="L7" s="1">
        <f t="shared" ref="L7:L70" si="2">L6+($B$11-$B$10)/100</f>
        <v>1.18E-2</v>
      </c>
      <c r="M7" s="1">
        <f>$E$12*($I$10^2)*(3+$E$11)/8*(($B$10^2)+($B$11^2)-($B$10^2*$B$11^2/(L7^2)) -L7^2)/1000000</f>
        <v>55.195170159726416</v>
      </c>
      <c r="N7" s="1">
        <f>$E$12*($I$10^2)*(3+$E$11)/8*(($B$10^2)+($B$11^2)+($B$10^2*$B$11^2/(L7^2)) -((3*$E$11+1)/(3+$E$11)*L7^2))/(1000000)</f>
        <v>341.66182972138512</v>
      </c>
      <c r="O7">
        <f t="shared" si="0"/>
        <v>317.68101905680578</v>
      </c>
    </row>
    <row r="8" spans="1:15">
      <c r="E8" s="1"/>
      <c r="K8">
        <f t="shared" si="1"/>
        <v>3</v>
      </c>
      <c r="L8" s="1">
        <f t="shared" si="2"/>
        <v>1.2699999999999999E-2</v>
      </c>
      <c r="M8" s="1">
        <f>$E$12*($I$10^2)*(3+$E$11)/8*(($B$10^2)+($B$11^2)-($B$10^2*$B$11^2/(L8^2)) -L8^2)/1000000</f>
        <v>74.258477876580457</v>
      </c>
      <c r="N8" s="1">
        <f>$E$12*($I$10^2)*(3+$E$11)/8*(($B$10^2)+($B$11^2)+($B$10^2*$B$11^2/(L8^2)) -((3*$E$11+1)/(3+$E$11)*L8^2))/(1000000)</f>
        <v>321.90840345423902</v>
      </c>
      <c r="O8">
        <f t="shared" si="0"/>
        <v>291.9501904346215</v>
      </c>
    </row>
    <row r="9" spans="1:15">
      <c r="A9" s="3" t="s">
        <v>1</v>
      </c>
      <c r="D9" s="4" t="s">
        <v>41</v>
      </c>
      <c r="G9" s="4" t="s">
        <v>7</v>
      </c>
      <c r="H9" t="s">
        <v>9</v>
      </c>
      <c r="I9" t="s">
        <v>10</v>
      </c>
      <c r="K9">
        <f t="shared" si="1"/>
        <v>4</v>
      </c>
      <c r="L9" s="1">
        <f t="shared" si="2"/>
        <v>1.3599999999999999E-2</v>
      </c>
      <c r="M9" s="1">
        <f>$E$12*($I$10^2)*(3+$E$11)/8*(($B$10^2)+($B$11^2)-($B$10^2*$B$11^2/(L9^2)) -L9^2)/1000000</f>
        <v>89.547705978751651</v>
      </c>
      <c r="N9" s="1">
        <f>$E$12*($I$10^2)*(3+$E$11)/8*(($B$10^2)+($B$11^2)+($B$10^2*$B$11^2/(L9^2)) -((3*$E$11+1)/(3+$E$11)*L9^2))/(1000000)</f>
        <v>305.87835421440741</v>
      </c>
      <c r="O9">
        <f t="shared" si="0"/>
        <v>272.3777786356942</v>
      </c>
    </row>
    <row r="10" spans="1:15">
      <c r="A10" s="6" t="s">
        <v>2</v>
      </c>
      <c r="B10" s="12">
        <v>0.01</v>
      </c>
      <c r="D10" s="6" t="s">
        <v>26</v>
      </c>
      <c r="E10" s="6">
        <v>210000</v>
      </c>
      <c r="G10" s="9" t="s">
        <v>8</v>
      </c>
      <c r="H10" s="11">
        <f>I10*60/(2*3.1415)</f>
        <v>23726.723256371406</v>
      </c>
      <c r="I10" s="11">
        <f>(2*H6/B15)^0.5</f>
        <v>2484.5833703296926</v>
      </c>
      <c r="K10">
        <f t="shared" si="1"/>
        <v>5</v>
      </c>
      <c r="L10" s="1">
        <f t="shared" si="2"/>
        <v>1.4499999999999999E-2</v>
      </c>
      <c r="M10" s="1">
        <f>$E$12*($I$10^2)*(3+$E$11)/8*(($B$10^2)+($B$11^2)-($B$10^2*$B$11^2/(L10^2)) -L10^2)/1000000</f>
        <v>101.96236465966464</v>
      </c>
      <c r="N10" s="1">
        <f>$E$12*($I$10^2)*(3+$E$11)/8*(($B$10^2)+($B$11^2)+($B$10^2*$B$11^2/(L10^2)) -((3*$E$11+1)/(3+$E$11)*L10^2))/(1000000)</f>
        <v>292.67217180846546</v>
      </c>
      <c r="O10">
        <f t="shared" si="0"/>
        <v>257.31649237933345</v>
      </c>
    </row>
    <row r="11" spans="1:15">
      <c r="A11" s="6" t="s">
        <v>3</v>
      </c>
      <c r="B11" s="12">
        <v>0.1</v>
      </c>
      <c r="D11" s="6" t="s">
        <v>5</v>
      </c>
      <c r="E11" s="6">
        <v>0.3</v>
      </c>
      <c r="K11">
        <f t="shared" si="1"/>
        <v>6</v>
      </c>
      <c r="L11" s="1">
        <f t="shared" si="2"/>
        <v>1.5399999999999999E-2</v>
      </c>
      <c r="M11" s="1">
        <f>$E$12*($I$10^2)*(3+$E$11)/8*(($B$10^2)+($B$11^2)-($B$10^2*$B$11^2/(L11^2)) -L11^2)/1000000</f>
        <v>112.1470645498938</v>
      </c>
      <c r="N11" s="1">
        <f>$E$12*($I$10^2)*(3+$E$11)/8*(($B$10^2)+($B$11^2)+($B$10^2*$B$11^2/(L11^2)) -((3*$E$11+1)/(3+$E$11)*L11^2))/(1000000)</f>
        <v>281.64524560583908</v>
      </c>
      <c r="O11">
        <f t="shared" si="0"/>
        <v>245.59177698042484</v>
      </c>
    </row>
    <row r="12" spans="1:15">
      <c r="A12" s="6" t="s">
        <v>6</v>
      </c>
      <c r="B12" s="12">
        <v>0.1</v>
      </c>
      <c r="D12" s="6" t="s">
        <v>27</v>
      </c>
      <c r="E12" s="6">
        <v>7800</v>
      </c>
      <c r="K12">
        <f t="shared" si="1"/>
        <v>7</v>
      </c>
      <c r="L12" s="1">
        <f t="shared" si="2"/>
        <v>1.6299999999999999E-2</v>
      </c>
      <c r="M12" s="1">
        <f>$E$12*($I$10^2)*(3+$E$11)/8*(($B$10^2)+($B$11^2)-($B$10^2*$B$11^2/(L12^2)) -L12^2)/1000000</f>
        <v>120.57352717110227</v>
      </c>
      <c r="N12" s="1">
        <f>$E$12*($I$10^2)*(3+$E$11)/8*(($B$10^2)+($B$11^2)+($B$10^2*$B$11^2/(L12^2)) -((3*$E$11+1)/(3+$E$11)*L12^2))/(1000000)</f>
        <v>272.32585408486489</v>
      </c>
      <c r="O12">
        <f t="shared" si="0"/>
        <v>236.3557858200991</v>
      </c>
    </row>
    <row r="13" spans="1:15">
      <c r="D13" s="6" t="s">
        <v>59</v>
      </c>
      <c r="E13" s="6">
        <v>1800</v>
      </c>
      <c r="K13">
        <f t="shared" si="1"/>
        <v>8</v>
      </c>
      <c r="L13" s="1">
        <f t="shared" si="2"/>
        <v>1.72E-2</v>
      </c>
      <c r="M13" s="1">
        <f>$E$12*($I$10^2)*(3+$E$11)/8*(($B$10^2)+($B$11^2)-($B$10^2*$B$11^2/(L13^2)) -L13^2)/1000000</f>
        <v>127.59338489870117</v>
      </c>
      <c r="N13" s="1">
        <f>$E$12*($I$10^2)*(3+$E$11)/8*(($B$10^2)+($B$11^2)+($B$10^2*$B$11^2/(L13^2)) -((3*$E$11+1)/(3+$E$11)*L13^2))/(1000000)</f>
        <v>264.36236487013196</v>
      </c>
      <c r="O13">
        <f t="shared" si="0"/>
        <v>228.99048638760357</v>
      </c>
    </row>
    <row r="14" spans="1:15">
      <c r="A14" t="s">
        <v>17</v>
      </c>
      <c r="B14" s="1">
        <f>E12*3.1415*(B11^2-B10^2)*B12</f>
        <v>24.258663000000009</v>
      </c>
      <c r="G14" s="14" t="s">
        <v>58</v>
      </c>
      <c r="H14" s="15">
        <f>N5</f>
        <v>398.08512921959061</v>
      </c>
      <c r="K14">
        <f t="shared" si="1"/>
        <v>9</v>
      </c>
      <c r="L14" s="1">
        <f t="shared" si="2"/>
        <v>1.8100000000000002E-2</v>
      </c>
      <c r="M14" s="1">
        <f>$E$12*($I$10^2)*(3+$E$11)/8*(($B$10^2)+($B$11^2)-($B$10^2*$B$11^2/(L14^2)) -L14^2)/1000000</f>
        <v>133.47308304735117</v>
      </c>
      <c r="N14" s="1">
        <f>$E$12*($I$10^2)*(3+$E$11)/8*(($B$10^2)+($B$11^2)+($B$10^2*$B$11^2/(L14^2)) -((3*$E$11+1)/(3+$E$11)*L14^2))/(1000000)</f>
        <v>257.48833264697947</v>
      </c>
      <c r="O14">
        <f t="shared" si="0"/>
        <v>223.04157401787762</v>
      </c>
    </row>
    <row r="15" spans="1:15">
      <c r="A15" t="s">
        <v>4</v>
      </c>
      <c r="B15" s="1">
        <f>0.5*B12*E12*3.1415*(B11^4 - B10^4)</f>
        <v>0.12250624815000008</v>
      </c>
      <c r="D15" s="1"/>
      <c r="K15">
        <f t="shared" si="1"/>
        <v>10</v>
      </c>
      <c r="L15" s="1">
        <f t="shared" si="2"/>
        <v>1.9000000000000003E-2</v>
      </c>
      <c r="M15" s="1">
        <f>$E$12*($I$10^2)*(3+$E$11)/8*(($B$10^2)+($B$11^2)-($B$10^2*$B$11^2/(L15^2)) -L15^2)/1000000</f>
        <v>138.41749631226619</v>
      </c>
      <c r="N15" s="1">
        <f>$E$12*($I$10^2)*(3+$E$11)/8*(($B$10^2)+($B$11^2)+($B$10^2*$B$11^2/(L15^2)) -((3*$E$11+1)/(3+$E$11)*L15^2))/(1000000)</f>
        <v>251.49888272019356</v>
      </c>
      <c r="O15">
        <f t="shared" si="0"/>
        <v>218.17251344612691</v>
      </c>
    </row>
    <row r="16" spans="1:15">
      <c r="A16" t="s">
        <v>15</v>
      </c>
      <c r="B16" s="1">
        <f>0.5*B15*I10^2</f>
        <v>378125.00000000006</v>
      </c>
      <c r="K16">
        <f t="shared" si="1"/>
        <v>11</v>
      </c>
      <c r="L16" s="1">
        <f t="shared" si="2"/>
        <v>1.9900000000000004E-2</v>
      </c>
      <c r="M16" s="1">
        <f>$E$12*($I$10^2)*(3+$E$11)/8*(($B$10^2)+($B$11^2)-($B$10^2*$B$11^2/(L16^2)) -L16^2)/1000000</f>
        <v>142.58624533403923</v>
      </c>
      <c r="N16" s="1">
        <f>$E$12*($I$10^2)*(3+$E$11)/8*(($B$10^2)+($B$11^2)+($B$10^2*$B$11^2/(L16^2)) -((3*$E$11+1)/(3+$E$11)*L16^2))/(1000000)</f>
        <v>246.23439444918128</v>
      </c>
      <c r="O16">
        <f t="shared" si="0"/>
        <v>214.13214749683027</v>
      </c>
    </row>
    <row r="17" spans="1:15">
      <c r="A17" t="s">
        <v>16</v>
      </c>
      <c r="B17" s="1">
        <f>B16/3600000</f>
        <v>0.10503472222222224</v>
      </c>
      <c r="K17">
        <f t="shared" si="1"/>
        <v>12</v>
      </c>
      <c r="L17" s="1">
        <f t="shared" si="2"/>
        <v>2.0800000000000006E-2</v>
      </c>
      <c r="M17" s="1">
        <f>$E$12*($I$10^2)*(3+$E$11)/8*(($B$10^2)+($B$11^2)-($B$10^2*$B$11^2/(L17^2)) -L17^2)/1000000</f>
        <v>146.1051827148251</v>
      </c>
      <c r="N17" s="1">
        <f>$E$12*($I$10^2)*(3+$E$11)/8*(($B$10^2)+($B$11^2)+($B$10^2*$B$11^2/(L17^2)) -((3*$E$11+1)/(3+$E$11)*L17^2))/(1000000)</f>
        <v>241.56901523178774</v>
      </c>
      <c r="O17">
        <f t="shared" si="0"/>
        <v>210.7316502747212</v>
      </c>
    </row>
    <row r="18" spans="1:15">
      <c r="K18">
        <f t="shared" si="1"/>
        <v>13</v>
      </c>
      <c r="L18" s="1">
        <f t="shared" si="2"/>
        <v>2.1700000000000007E-2</v>
      </c>
      <c r="M18" s="1">
        <f>$E$12*($I$10^2)*(3+$E$11)/8*(($B$10^2)+($B$11^2)-($B$10^2*$B$11^2/(L18^2)) -L18^2)/1000000</f>
        <v>149.07461634645048</v>
      </c>
      <c r="N18" s="1">
        <f>$E$12*($I$10^2)*(3+$E$11)/8*(($B$10^2)+($B$11^2)+($B$10^2*$B$11^2/(L18^2)) -((3*$E$11+1)/(3+$E$11)*L18^2))/(1000000)</f>
        <v>237.40243717618628</v>
      </c>
      <c r="O18">
        <f t="shared" si="0"/>
        <v>207.8280086376285</v>
      </c>
    </row>
    <row r="19" spans="1:15">
      <c r="A19" s="3" t="s">
        <v>34</v>
      </c>
      <c r="D19" s="4" t="s">
        <v>38</v>
      </c>
      <c r="K19">
        <f t="shared" si="1"/>
        <v>14</v>
      </c>
      <c r="L19" s="1">
        <f t="shared" si="2"/>
        <v>2.2600000000000009E-2</v>
      </c>
      <c r="M19" s="1">
        <f>$E$12*($I$10^2)*(3+$E$11)/8*(($B$10^2)+($B$11^2)-($B$10^2*$B$11^2/(L19^2)) -L19^2)/1000000</f>
        <v>151.57528780701696</v>
      </c>
      <c r="N19" s="1">
        <f>$E$12*($I$10^2)*(3+$E$11)/8*(($B$10^2)+($B$11^2)+($B$10^2*$B$11^2/(L19^2)) -((3*$E$11+1)/(3+$E$11)*L19^2))/(1000000)</f>
        <v>233.65391870427538</v>
      </c>
      <c r="O19">
        <f t="shared" si="0"/>
        <v>205.31210783781427</v>
      </c>
    </row>
    <row r="20" spans="1:15">
      <c r="A20" s="6" t="s">
        <v>68</v>
      </c>
      <c r="B20" s="6">
        <v>0.15</v>
      </c>
      <c r="D20" t="s">
        <v>37</v>
      </c>
      <c r="E20" s="1">
        <f>3.1415*(B21^4)/64</f>
        <v>7.8537500000000001E-9</v>
      </c>
      <c r="H20" t="s">
        <v>53</v>
      </c>
      <c r="I20" t="s">
        <v>54</v>
      </c>
      <c r="K20">
        <f t="shared" si="1"/>
        <v>15</v>
      </c>
      <c r="L20" s="1">
        <f t="shared" si="2"/>
        <v>2.350000000000001E-2</v>
      </c>
      <c r="M20" s="1">
        <f>$E$12*($I$10^2)*(3+$E$11)/8*(($B$10^2)+($B$11^2)-($B$10^2*$B$11^2/(L20^2)) -L20^2)/1000000</f>
        <v>153.67277986463077</v>
      </c>
      <c r="N20" s="1">
        <f>$E$12*($I$10^2)*(3+$E$11)/8*(($B$10^2)+($B$11^2)+($B$10^2*$B$11^2/(L20^2)) -((3*$E$11+1)/(3+$E$11)*L20^2))/(1000000)</f>
        <v>230.25787704794871</v>
      </c>
      <c r="O20">
        <f t="shared" si="0"/>
        <v>203.10008656390301</v>
      </c>
    </row>
    <row r="21" spans="1:15">
      <c r="A21" t="s">
        <v>55</v>
      </c>
      <c r="B21" s="1">
        <f>B10*2</f>
        <v>0.02</v>
      </c>
      <c r="D21" t="s">
        <v>47</v>
      </c>
      <c r="E21" s="1">
        <f>48*B22*E20/(B20^3)</f>
        <v>23456533.333333336</v>
      </c>
      <c r="G21" s="9" t="s">
        <v>65</v>
      </c>
      <c r="H21" s="9">
        <f>(E21/B14)^(0.5)</f>
        <v>983.32817526379938</v>
      </c>
      <c r="I21">
        <f>H21/(2*3.1415)</f>
        <v>156.50615554095165</v>
      </c>
      <c r="K21">
        <f t="shared" si="1"/>
        <v>16</v>
      </c>
      <c r="L21" s="1">
        <f t="shared" si="2"/>
        <v>2.4400000000000012E-2</v>
      </c>
      <c r="M21" s="1">
        <f>$E$12*($I$10^2)*(3+$E$11)/8*(($B$10^2)+($B$11^2)-($B$10^2*$B$11^2/(L21^2)) -L21^2)/1000000</f>
        <v>155.42080770947948</v>
      </c>
      <c r="N21" s="1">
        <f>$E$12*($I$10^2)*(3+$E$11)/8*(($B$10^2)+($B$11^2)+($B$10^2*$B$11^2/(L21^2)) -((3*$E$11+1)/(3+$E$11)*L21^2))/(1000000)</f>
        <v>227.16059701701874</v>
      </c>
      <c r="O21">
        <f t="shared" si="0"/>
        <v>201.12702662258684</v>
      </c>
    </row>
    <row r="22" spans="1:15">
      <c r="A22" s="6" t="s">
        <v>39</v>
      </c>
      <c r="B22" s="12">
        <v>210000000000</v>
      </c>
      <c r="D22" t="s">
        <v>48</v>
      </c>
      <c r="E22" s="1">
        <f>2*3*B22*E20/(((B20-B12)/2)^3)</f>
        <v>633326400.00000048</v>
      </c>
      <c r="G22" s="9" t="s">
        <v>66</v>
      </c>
      <c r="H22" s="9">
        <f>(E22/B14)^(0.5)</f>
        <v>5109.5230802126844</v>
      </c>
      <c r="I22">
        <f>H22/(2*3.1415)</f>
        <v>813.22983928261726</v>
      </c>
      <c r="K22">
        <f t="shared" si="1"/>
        <v>17</v>
      </c>
      <c r="L22" s="1">
        <f t="shared" si="2"/>
        <v>2.5300000000000013E-2</v>
      </c>
      <c r="M22" s="1">
        <f>$E$12*($I$10^2)*(3+$E$11)/8*(($B$10^2)+($B$11^2)-($B$10^2*$B$11^2/(L22^2)) -L22^2)/1000000</f>
        <v>156.86370570250514</v>
      </c>
      <c r="N22" s="1">
        <f>$E$12*($I$10^2)*(3+$E$11)/8*(($B$10^2)+($B$11^2)+($B$10^2*$B$11^2/(L22^2)) -((3*$E$11+1)/(3+$E$11)*L22^2))/(1000000)</f>
        <v>224.31774425054343</v>
      </c>
      <c r="O22">
        <f t="shared" si="0"/>
        <v>199.34231847354263</v>
      </c>
    </row>
    <row r="23" spans="1:15">
      <c r="A23" s="6" t="s">
        <v>67</v>
      </c>
      <c r="B23" s="12">
        <v>7800</v>
      </c>
      <c r="D23" t="s">
        <v>63</v>
      </c>
      <c r="E23" s="1">
        <f>3.1415*B21*B21/4</f>
        <v>3.1415000000000007E-4</v>
      </c>
      <c r="G23" s="9" t="s">
        <v>64</v>
      </c>
      <c r="H23" s="9">
        <f>((48*B22*E20)/((17*B23*(E23^4)/35)+(B14*(B20^3))))^0.5</f>
        <v>983.32817504220861</v>
      </c>
      <c r="I23">
        <f>H23/(2*3.1415)</f>
        <v>156.50615550568335</v>
      </c>
      <c r="K23">
        <f t="shared" si="1"/>
        <v>18</v>
      </c>
      <c r="L23" s="1">
        <f t="shared" si="2"/>
        <v>2.6200000000000015E-2</v>
      </c>
      <c r="M23" s="1">
        <f>$E$12*($I$10^2)*(3+$E$11)/8*(($B$10^2)+($B$11^2)-($B$10^2*$B$11^2/(L23^2)) -L23^2)/1000000</f>
        <v>158.03832677097662</v>
      </c>
      <c r="N23" s="1">
        <f>$E$12*($I$10^2)*(3+$E$11)/8*(($B$10^2)+($B$11^2)+($B$10^2*$B$11^2/(L23^2)) -((3*$E$11+1)/(3+$E$11)*L23^2))/(1000000)</f>
        <v>221.6924658212539</v>
      </c>
      <c r="O23">
        <f t="shared" si="0"/>
        <v>197.70623605327913</v>
      </c>
    </row>
    <row r="24" spans="1:15">
      <c r="G24" s="9" t="s">
        <v>69</v>
      </c>
      <c r="H24">
        <f>(((3.1415^4)*B22*E20/2)/((B23*(E23^4))+(B14*(B20^3))))^0.5</f>
        <v>990.46012182943662</v>
      </c>
      <c r="K24">
        <f t="shared" si="1"/>
        <v>19</v>
      </c>
      <c r="L24" s="1">
        <f t="shared" si="2"/>
        <v>2.7100000000000016E-2</v>
      </c>
      <c r="M24" s="1">
        <f>$E$12*($I$10^2)*(3+$E$11)/8*(($B$10^2)+($B$11^2)-($B$10^2*$B$11^2/(L24^2)) -L24^2)/1000000</f>
        <v>158.97550780958593</v>
      </c>
      <c r="N24" s="1">
        <f>$E$12*($I$10^2)*(3+$E$11)/8*(($B$10^2)+($B$11^2)+($B$10^2*$B$11^2/(L24^2)) -((3*$E$11+1)/(3+$E$11)*L24^2))/(1000000)</f>
        <v>219.25392483445813</v>
      </c>
      <c r="O24">
        <f t="shared" si="0"/>
        <v>196.18738899028949</v>
      </c>
    </row>
    <row r="25" spans="1:15">
      <c r="A25" s="3" t="s">
        <v>43</v>
      </c>
      <c r="D25" s="3" t="s">
        <v>44</v>
      </c>
      <c r="G25" s="3" t="s">
        <v>49</v>
      </c>
      <c r="K25">
        <f t="shared" si="1"/>
        <v>20</v>
      </c>
      <c r="L25" s="1">
        <f t="shared" si="2"/>
        <v>2.8000000000000018E-2</v>
      </c>
      <c r="M25" s="1">
        <f>$E$12*($I$10^2)*(3+$E$11)/8*(($B$10^2)+($B$11^2)-($B$10^2*$B$11^2/(L25^2)) -L25^2)/1000000</f>
        <v>159.70121082567249</v>
      </c>
      <c r="N25" s="1">
        <f>$E$12*($I$10^2)*(3+$E$11)/8*(($B$10^2)+($B$11^2)+($B$10^2*$B$11^2/(L25^2)) -((3*$E$11+1)/(3+$E$11)*L25^2))/(1000000)</f>
        <v>216.97615928281672</v>
      </c>
      <c r="O25">
        <f t="shared" si="0"/>
        <v>194.76081504896806</v>
      </c>
    </row>
    <row r="26" spans="1:15">
      <c r="D26" t="s">
        <v>45</v>
      </c>
      <c r="E26" s="1">
        <f>B21*1.5*1000</f>
        <v>30</v>
      </c>
      <c r="G26" t="s">
        <v>18</v>
      </c>
      <c r="H26" s="1">
        <f>B21*1000</f>
        <v>20</v>
      </c>
      <c r="K26">
        <f t="shared" si="1"/>
        <v>21</v>
      </c>
      <c r="L26" s="1">
        <f t="shared" si="2"/>
        <v>2.8900000000000019E-2</v>
      </c>
      <c r="M26" s="1">
        <f>$E$12*($I$10^2)*(3+$E$11)/8*(($B$10^2)+($B$11^2)-($B$10^2*$B$11^2/(L26^2)) -L26^2)/1000000</f>
        <v>160.23741930925272</v>
      </c>
      <c r="N26" s="1">
        <f>$E$12*($I$10^2)*(3+$E$11)/8*(($B$10^2)+($B$11^2)+($B$10^2*$B$11^2/(L26^2)) -((3*$E$11+1)/(3+$E$11)*L26^2))/(1000000)</f>
        <v>214.83718567631325</v>
      </c>
      <c r="O26">
        <f t="shared" si="0"/>
        <v>193.40654252577079</v>
      </c>
    </row>
    <row r="27" spans="1:15">
      <c r="D27" s="8" t="s">
        <v>46</v>
      </c>
      <c r="E27" s="8">
        <f>E26*H10</f>
        <v>711801.69769114221</v>
      </c>
      <c r="G27" t="s">
        <v>42</v>
      </c>
      <c r="H27" s="1">
        <f>H10/60*(3.1415*H26*0.001)</f>
        <v>24.845833703296925</v>
      </c>
      <c r="K27">
        <f t="shared" si="1"/>
        <v>22</v>
      </c>
      <c r="L27" s="1">
        <f t="shared" si="2"/>
        <v>2.9800000000000021E-2</v>
      </c>
      <c r="M27" s="1">
        <f>$E$12*($I$10^2)*(3+$E$11)/8*(($B$10^2)+($B$11^2)-($B$10^2*$B$11^2/(L27^2)) -L27^2)/1000000</f>
        <v>160.60284804432604</v>
      </c>
      <c r="N27" s="1">
        <f>$E$12*($I$10^2)*(3+$E$11)/8*(($B$10^2)+($B$11^2)+($B$10^2*$B$11^2/(L27^2)) -((3*$E$11+1)/(3+$E$11)*L27^2))/(1000000)</f>
        <v>212.8182892309483</v>
      </c>
      <c r="O27">
        <f t="shared" si="0"/>
        <v>192.1084997201452</v>
      </c>
    </row>
    <row r="28" spans="1:15">
      <c r="D28" t="s">
        <v>57</v>
      </c>
      <c r="E28">
        <v>600000</v>
      </c>
      <c r="G28" t="s">
        <v>51</v>
      </c>
      <c r="H28" s="1">
        <f>2*1000*(B20-B12)/2</f>
        <v>49.999999999999986</v>
      </c>
      <c r="K28">
        <f t="shared" si="1"/>
        <v>23</v>
      </c>
      <c r="L28" s="1">
        <f t="shared" si="2"/>
        <v>3.0700000000000022E-2</v>
      </c>
      <c r="M28" s="1">
        <f>$E$12*($I$10^2)*(3+$E$11)/8*(($B$10^2)+($B$11^2)-($B$10^2*$B$11^2/(L28^2)) -L28^2)/1000000</f>
        <v>160.81350945193921</v>
      </c>
      <c r="N28" s="1">
        <f>$E$12*($I$10^2)*(3+$E$11)/8*(($B$10^2)+($B$11^2)+($B$10^2*$B$11^2/(L28^2)) -((3*$E$11+1)/(3+$E$11)*L28^2))/(1000000)</f>
        <v>210.90345752567509</v>
      </c>
      <c r="O28">
        <f t="shared" si="0"/>
        <v>190.85368232832545</v>
      </c>
    </row>
    <row r="29" spans="1:15">
      <c r="G29" s="8" t="s">
        <v>52</v>
      </c>
      <c r="H29" s="7">
        <f>I33*H27</f>
        <v>56.018518518518533</v>
      </c>
      <c r="I29" s="1"/>
      <c r="K29">
        <f t="shared" si="1"/>
        <v>24</v>
      </c>
      <c r="L29" s="1">
        <f t="shared" si="2"/>
        <v>3.1600000000000024E-2</v>
      </c>
      <c r="M29" s="1">
        <f>$E$12*($I$10^2)*(3+$E$11)/8*(($B$10^2)+($B$11^2)-($B$10^2*$B$11^2/(L29^2)) -L29^2)/1000000</f>
        <v>160.88316867345935</v>
      </c>
      <c r="N29" s="1">
        <f>$E$12*($I$10^2)*(3+$E$11)/8*(($B$10^2)+($B$11^2)+($B$10^2*$B$11^2/(L29^2)) -((3*$E$11+1)/(3+$E$11)*L29^2))/(1000000)</f>
        <v>209.07892541912651</v>
      </c>
      <c r="O29">
        <f t="shared" si="0"/>
        <v>189.63151371161516</v>
      </c>
    </row>
    <row r="30" spans="1:15">
      <c r="G30" s="6" t="s">
        <v>56</v>
      </c>
      <c r="H30" s="12">
        <f>0.5*1*1/0.03</f>
        <v>16.666666666666668</v>
      </c>
      <c r="K30">
        <f t="shared" si="1"/>
        <v>25</v>
      </c>
      <c r="L30" s="1">
        <f t="shared" si="2"/>
        <v>3.2500000000000022E-2</v>
      </c>
      <c r="M30" s="1">
        <f>$E$12*($I$10^2)*(3+$E$11)/8*(($B$10^2)+($B$11^2)-($B$10^2*$B$11^2/(L30^2)) -L30^2)/1000000</f>
        <v>160.82371169043424</v>
      </c>
      <c r="N30" s="1">
        <f>$E$12*($I$10^2)*(3+$E$11)/8*(($B$10^2)+($B$11^2)+($B$10^2*$B$11^2/(L30^2)) -((3*$E$11+1)/(3+$E$11)*L30^2))/(1000000)</f>
        <v>207.33280692975478</v>
      </c>
      <c r="O30">
        <f t="shared" si="0"/>
        <v>188.43335030089429</v>
      </c>
    </row>
    <row r="31" spans="1:15">
      <c r="K31">
        <f t="shared" si="1"/>
        <v>26</v>
      </c>
      <c r="L31" s="1">
        <f t="shared" si="2"/>
        <v>3.340000000000002E-2</v>
      </c>
      <c r="M31" s="1">
        <f>$E$12*($I$10^2)*(3+$E$11)/8*(($B$10^2)+($B$11^2)-($B$10^2*$B$11^2/(L31^2)) -L31^2)/1000000</f>
        <v>160.64544496742158</v>
      </c>
      <c r="N31" s="1">
        <f>$E$12*($I$10^2)*(3+$E$11)/8*(($B$10^2)+($B$11^2)+($B$10^2*$B$11^2/(L31^2)) -((3*$E$11+1)/(3+$E$11)*L31^2))/(1000000)</f>
        <v>205.65479559300221</v>
      </c>
      <c r="O31">
        <f t="shared" si="0"/>
        <v>187.25209689469014</v>
      </c>
    </row>
    <row r="32" spans="1:15">
      <c r="A32" s="3" t="s">
        <v>29</v>
      </c>
      <c r="H32" s="2" t="s">
        <v>60</v>
      </c>
      <c r="I32" t="s">
        <v>61</v>
      </c>
      <c r="K32">
        <f t="shared" si="1"/>
        <v>27</v>
      </c>
      <c r="L32" s="1">
        <f t="shared" si="2"/>
        <v>3.4300000000000018E-2</v>
      </c>
      <c r="M32" s="1">
        <f>$E$12*($I$10^2)*(3+$E$11)/8*(($B$10^2)+($B$11^2)-($B$10^2*$B$11^2/(L32^2)) -L32^2)/1000000</f>
        <v>160.35734079784797</v>
      </c>
      <c r="N32" s="1">
        <f>$E$12*($I$10^2)*(3+$E$11)/8*(($B$10^2)+($B$11^2)+($B$10^2*$B$11^2/(L32^2)) -((3*$E$11+1)/(3+$E$11)*L32^2))/(1000000)</f>
        <v>204.03591911544223</v>
      </c>
      <c r="O32">
        <f t="shared" si="0"/>
        <v>186.0819056771596</v>
      </c>
    </row>
    <row r="33" spans="1:15">
      <c r="A33" t="s">
        <v>30</v>
      </c>
      <c r="B33">
        <v>30</v>
      </c>
      <c r="D33" t="s">
        <v>32</v>
      </c>
      <c r="E33" s="16">
        <f>B34/3.6/B33</f>
        <v>0.55555555555555558</v>
      </c>
      <c r="G33" t="s">
        <v>35</v>
      </c>
      <c r="H33" s="1">
        <f>E34/(B20/2)</f>
        <v>2254.6443475183173</v>
      </c>
      <c r="I33" s="16">
        <f>H33/(H26*H28)</f>
        <v>2.254644347518318</v>
      </c>
      <c r="K33">
        <f t="shared" si="1"/>
        <v>28</v>
      </c>
      <c r="L33" s="1">
        <f t="shared" si="2"/>
        <v>3.5200000000000016E-2</v>
      </c>
      <c r="M33" s="1">
        <f>$E$12*($I$10^2)*(3+$E$11)/8*(($B$10^2)+($B$11^2)-($B$10^2*$B$11^2/(L33^2)) -L33^2)/1000000</f>
        <v>159.96723931306062</v>
      </c>
      <c r="N33" s="1">
        <f>$E$12*($I$10^2)*(3+$E$11)/8*(($B$10^2)+($B$11^2)+($B$10^2*$B$11^2/(L33^2)) -((3*$E$11+1)/(3+$E$11)*L33^2))/(1000000)</f>
        <v>202.46833736572751</v>
      </c>
      <c r="O33">
        <f t="shared" si="0"/>
        <v>184.91793940119285</v>
      </c>
    </row>
    <row r="34" spans="1:15">
      <c r="A34" t="s">
        <v>31</v>
      </c>
      <c r="B34">
        <v>60</v>
      </c>
      <c r="D34" t="s">
        <v>33</v>
      </c>
      <c r="E34" s="1">
        <f>B15*E33*I10</f>
        <v>169.0983260638738</v>
      </c>
      <c r="G34" t="s">
        <v>36</v>
      </c>
      <c r="H34" s="1">
        <f>B14*B33*(E33^2)/2</f>
        <v>112.30862500000005</v>
      </c>
      <c r="I34" s="16">
        <f>H34/(H26*H28)</f>
        <v>0.11230862500000008</v>
      </c>
      <c r="K34">
        <f t="shared" si="1"/>
        <v>29</v>
      </c>
      <c r="L34" s="1">
        <f t="shared" si="2"/>
        <v>3.6100000000000014E-2</v>
      </c>
      <c r="M34" s="1">
        <f>$E$12*($I$10^2)*(3+$E$11)/8*(($B$10^2)+($B$11^2)-($B$10^2*$B$11^2/(L34^2)) -L34^2)/1000000</f>
        <v>159.48201568719074</v>
      </c>
      <c r="N34" s="1">
        <f>$E$12*($I$10^2)*(3+$E$11)/8*(($B$10^2)+($B$11^2)+($B$10^2*$B$11^2/(L34^2)) -((3*$E$11+1)/(3+$E$11)*L34^2))/(1000000)</f>
        <v>200.94517516972698</v>
      </c>
      <c r="O34">
        <f t="shared" si="0"/>
        <v>183.7561840400424</v>
      </c>
    </row>
    <row r="35" spans="1:15">
      <c r="G35" t="s">
        <v>50</v>
      </c>
      <c r="H35" s="1">
        <f>B14*9.81/2</f>
        <v>118.98874201500006</v>
      </c>
      <c r="I35" s="16">
        <f>H35/(H26*H28)</f>
        <v>0.11898874201500008</v>
      </c>
      <c r="K35">
        <f t="shared" si="1"/>
        <v>30</v>
      </c>
      <c r="L35" s="1">
        <f t="shared" si="2"/>
        <v>3.7000000000000012E-2</v>
      </c>
      <c r="M35" s="1">
        <f>$E$12*($I$10^2)*(3+$E$11)/8*(($B$10^2)+($B$11^2)-($B$10^2*$B$11^2/(L35^2)) -L35^2)/1000000</f>
        <v>158.9077192259395</v>
      </c>
      <c r="N35" s="1">
        <f>$E$12*($I$10^2)*(3+$E$11)/8*(($B$10^2)+($B$11^2)+($B$10^2*$B$11^2/(L35^2)) -((3*$E$11+1)/(3+$E$11)*L35^2))/(1000000)</f>
        <v>199.46038322173939</v>
      </c>
      <c r="O35">
        <f t="shared" si="0"/>
        <v>182.59329979726721</v>
      </c>
    </row>
    <row r="36" spans="1:15">
      <c r="K36">
        <f t="shared" si="1"/>
        <v>31</v>
      </c>
      <c r="L36" s="1">
        <f t="shared" si="2"/>
        <v>3.790000000000001E-2</v>
      </c>
      <c r="M36" s="1">
        <f>$E$12*($I$10^2)*(3+$E$11)/8*(($B$10^2)+($B$11^2)-($B$10^2*$B$11^2/(L36^2)) -L36^2)/1000000</f>
        <v>158.24968961551363</v>
      </c>
      <c r="N36" s="1">
        <f>$E$12*($I$10^2)*(3+$E$11)/8*(($B$10^2)+($B$11^2)+($B$10^2*$B$11^2/(L36^2)) -((3*$E$11+1)/(3+$E$11)*L36^2))/(1000000)</f>
        <v>198.00862183555807</v>
      </c>
      <c r="O36">
        <f t="shared" si="0"/>
        <v>181.42650202754496</v>
      </c>
    </row>
    <row r="37" spans="1:15">
      <c r="H37" t="s">
        <v>62</v>
      </c>
      <c r="K37">
        <f t="shared" si="1"/>
        <v>32</v>
      </c>
      <c r="L37" s="1">
        <f t="shared" si="2"/>
        <v>3.8800000000000008E-2</v>
      </c>
      <c r="M37" s="1">
        <f>$E$12*($I$10^2)*(3+$E$11)/8*(($B$10^2)+($B$11^2)-($B$10^2*$B$11^2/(L37^2)) -L37^2)/1000000</f>
        <v>157.51265451961774</v>
      </c>
      <c r="N37" s="1">
        <f>$E$12*($I$10^2)*(3+$E$11)/8*(($B$10^2)+($B$11^2)+($B$10^2*$B$11^2/(L37^2)) -((3*$E$11+1)/(3+$E$11)*L37^2))/(1000000)</f>
        <v>196.58516334747836</v>
      </c>
      <c r="O37">
        <f t="shared" si="0"/>
        <v>180.25346560922824</v>
      </c>
    </row>
    <row r="38" spans="1:15">
      <c r="K38">
        <f t="shared" si="1"/>
        <v>33</v>
      </c>
      <c r="L38" s="1">
        <f t="shared" si="2"/>
        <v>3.9700000000000006E-2</v>
      </c>
      <c r="M38" s="1">
        <f>$E$12*($I$10^2)*(3+$E$11)/8*(($B$10^2)+($B$11^2)-($B$10^2*$B$11^2/(L38^2)) -L38^2)/1000000</f>
        <v>156.70081186792288</v>
      </c>
      <c r="N38" s="1">
        <f>$E$12*($I$10^2)*(3+$E$11)/8*(($B$10^2)+($B$11^2)+($B$10^2*$B$11^2/(L38^2)) -((3*$E$11+1)/(3+$E$11)*L38^2))/(1000000)</f>
        <v>195.18580982782922</v>
      </c>
      <c r="O38">
        <f t="shared" si="0"/>
        <v>179.07224780264761</v>
      </c>
    </row>
    <row r="39" spans="1:15">
      <c r="K39">
        <f t="shared" si="1"/>
        <v>34</v>
      </c>
      <c r="L39" s="1">
        <f t="shared" si="2"/>
        <v>4.0600000000000004E-2</v>
      </c>
      <c r="M39" s="1">
        <f>$E$12*($I$10^2)*(3+$E$11)/8*(($B$10^2)+($B$11^2)-($B$10^2*$B$11^2/(L39^2)) -L39^2)/1000000</f>
        <v>155.81789951999968</v>
      </c>
      <c r="N39" s="1">
        <f>$E$12*($I$10^2)*(3+$E$11)/8*(($B$10^2)+($B$11^2)+($B$10^2*$B$11^2/(L39^2)) -((3*$E$11+1)/(3+$E$11)*L39^2))/(1000000)</f>
        <v>193.80682341703996</v>
      </c>
      <c r="O39">
        <f t="shared" si="0"/>
        <v>177.88122575567601</v>
      </c>
    </row>
    <row r="40" spans="1:15">
      <c r="K40">
        <f t="shared" si="1"/>
        <v>35</v>
      </c>
      <c r="L40" s="1">
        <f t="shared" si="2"/>
        <v>4.1500000000000002E-2</v>
      </c>
      <c r="M40" s="1">
        <f>$E$12*($I$10^2)*(3+$E$11)/8*(($B$10^2)+($B$11^2)-($B$10^2*$B$11^2/(L40^2)) -L40^2)/1000000</f>
        <v>154.86725447068233</v>
      </c>
      <c r="N40" s="1">
        <f>$E$12*($I$10^2)*(3+$E$11)/8*(($B$10^2)+($B$11^2)+($B$10^2*$B$11^2/(L40^2)) -((3*$E$11+1)/(3+$E$11)*L40^2))/(1000000)</f>
        <v>192.44486712027651</v>
      </c>
      <c r="O40">
        <f t="shared" si="0"/>
        <v>176.67904567417</v>
      </c>
    </row>
    <row r="41" spans="1:15">
      <c r="K41">
        <f t="shared" si="1"/>
        <v>36</v>
      </c>
      <c r="L41" s="1">
        <f t="shared" si="2"/>
        <v>4.24E-2</v>
      </c>
      <c r="M41" s="1">
        <f>$E$12*($I$10^2)*(3+$E$11)/8*(($B$10^2)+($B$11^2)-($B$10^2*$B$11^2/(L41^2)) -L41^2)/1000000</f>
        <v>153.85186335355965</v>
      </c>
      <c r="N41" s="1">
        <f>$E$12*($I$10^2)*(3+$E$11)/8*(($B$10^2)+($B$11^2)+($B$10^2*$B$11^2/(L41^2)) -((3*$E$11+1)/(3+$E$11)*L41^2))/(1000000)</f>
        <v>191.09695430395001</v>
      </c>
      <c r="O41">
        <f t="shared" si="0"/>
        <v>175.46458132841397</v>
      </c>
    </row>
    <row r="42" spans="1:15">
      <c r="K42">
        <f t="shared" si="1"/>
        <v>37</v>
      </c>
      <c r="L42" s="1">
        <f t="shared" si="2"/>
        <v>4.3299999999999998E-2</v>
      </c>
      <c r="M42" s="1">
        <f>$E$12*($I$10^2)*(3+$E$11)/8*(($B$10^2)+($B$11^2)-($B$10^2*$B$11^2/(L42^2)) -L42^2)/1000000</f>
        <v>152.77440567417699</v>
      </c>
      <c r="N42" s="1">
        <f>$E$12*($I$10^2)*(3+$E$11)/8*(($B$10^2)+($B$11^2)+($B$10^2*$B$11^2/(L42^2)) -((3*$E$11+1)/(3+$E$11)*L42^2))/(1000000)</f>
        <v>189.76040546251502</v>
      </c>
      <c r="O42">
        <f t="shared" si="0"/>
        <v>174.23690006818165</v>
      </c>
    </row>
    <row r="43" spans="1:15">
      <c r="K43">
        <f t="shared" si="1"/>
        <v>38</v>
      </c>
      <c r="L43" s="1">
        <f t="shared" si="2"/>
        <v>4.4199999999999996E-2</v>
      </c>
      <c r="M43" s="1">
        <f>$E$12*($I$10^2)*(3+$E$11)/8*(($B$10^2)+($B$11^2)-($B$10^2*$B$11^2/(L43^2)) -L43^2)/1000000</f>
        <v>151.63729094492459</v>
      </c>
      <c r="N43" s="1">
        <f>$E$12*($I$10^2)*(3+$E$11)/8*(($B$10^2)+($B$11^2)+($B$10^2*$B$11^2/(L43^2)) -((3*$E$11+1)/(3+$E$11)*L43^2))/(1000000)</f>
        <v>188.43281108358147</v>
      </c>
      <c r="O43">
        <f t="shared" si="0"/>
        <v>172.99523490583596</v>
      </c>
    </row>
    <row r="44" spans="1:15">
      <c r="K44">
        <f t="shared" si="1"/>
        <v>39</v>
      </c>
      <c r="L44" s="1">
        <f t="shared" si="2"/>
        <v>4.5099999999999994E-2</v>
      </c>
      <c r="M44" s="1">
        <f>$E$12*($I$10^2)*(3+$E$11)/8*(($B$10^2)+($B$11^2)-($B$10^2*$B$11^2/(L44^2)) -L44^2)/1000000</f>
        <v>150.44269068525335</v>
      </c>
      <c r="N44" s="1">
        <f>$E$12*($I$10^2)*(3+$E$11)/8*(($B$10^2)+($B$11^2)+($B$10^2*$B$11^2/(L44^2)) -((3*$E$11+1)/(3+$E$11)*L44^2))/(1000000)</f>
        <v>187.11199964769827</v>
      </c>
      <c r="O44">
        <f t="shared" si="0"/>
        <v>171.73896152673436</v>
      </c>
    </row>
    <row r="45" spans="1:15">
      <c r="K45">
        <f t="shared" si="1"/>
        <v>40</v>
      </c>
      <c r="L45" s="1">
        <f t="shared" si="2"/>
        <v>4.5999999999999992E-2</v>
      </c>
      <c r="M45" s="1">
        <f>$E$12*($I$10^2)*(3+$E$11)/8*(($B$10^2)+($B$11^2)-($B$10^2*$B$11^2/(L45^2)) -L45^2)/1000000</f>
        <v>149.19256608287779</v>
      </c>
      <c r="N45" s="1">
        <f>$E$12*($I$10^2)*(3+$E$11)/8*(($B$10^2)+($B$11^2)+($B$10^2*$B$11^2/(L45^2)) -((3*$E$11+1)/(3+$E$11)*L45^2))/(1000000)</f>
        <v>185.79600996715106</v>
      </c>
      <c r="O45">
        <f t="shared" si="0"/>
        <v>170.4675793197884</v>
      </c>
    </row>
    <row r="46" spans="1:15">
      <c r="K46">
        <f t="shared" si="1"/>
        <v>41</v>
      </c>
      <c r="L46" s="1">
        <f t="shared" si="2"/>
        <v>4.689999999999999E-2</v>
      </c>
      <c r="M46" s="1">
        <f>$E$12*($I$10^2)*(3+$E$11)/8*(($B$10^2)+($B$11^2)-($B$10^2*$B$11^2/(L46^2)) -L46^2)/1000000</f>
        <v>147.88869197555786</v>
      </c>
      <c r="N46" s="1">
        <f>$E$12*($I$10^2)*(3+$E$11)/8*(($B$10^2)+($B$11^2)+($B$10^2*$B$11^2/(L46^2)) -((3*$E$11+1)/(3+$E$11)*L46^2))/(1000000)</f>
        <v>184.48306720417983</v>
      </c>
      <c r="O46">
        <f t="shared" si="0"/>
        <v>169.18069570384878</v>
      </c>
    </row>
    <row r="47" spans="1:15">
      <c r="K47">
        <f t="shared" si="1"/>
        <v>42</v>
      </c>
      <c r="L47" s="1">
        <f t="shared" si="2"/>
        <v>4.7799999999999988E-2</v>
      </c>
      <c r="M47" s="1">
        <f>$E$12*($I$10^2)*(3+$E$11)/8*(($B$10^2)+($B$11^2)-($B$10^2*$B$11^2/(L47^2)) -L47^2)/1000000</f>
        <v>146.53267770235843</v>
      </c>
      <c r="N47" s="1">
        <f>$E$12*($I$10^2)*(3+$E$11)/8*(($B$10^2)+($B$11^2)+($B$10^2*$B$11^2/(L47^2)) -((3*$E$11+1)/(3+$E$11)*L47^2))/(1000000)</f>
        <v>183.17156201971966</v>
      </c>
      <c r="O47">
        <f t="shared" si="0"/>
        <v>167.87801316936688</v>
      </c>
    </row>
    <row r="48" spans="1:15">
      <c r="K48">
        <f t="shared" si="1"/>
        <v>43</v>
      </c>
      <c r="L48" s="1">
        <f t="shared" si="2"/>
        <v>4.8699999999999986E-2</v>
      </c>
      <c r="M48" s="1">
        <f>$E$12*($I$10^2)*(3+$E$11)/8*(($B$10^2)+($B$11^2)-($B$10^2*$B$11^2/(L48^2)) -L48^2)/1000000</f>
        <v>145.12598528285369</v>
      </c>
      <c r="N48" s="1">
        <f>$E$12*($I$10^2)*(3+$E$11)/8*(($B$10^2)+($B$11^2)+($B$10^2*$B$11^2/(L48^2)) -((3*$E$11+1)/(3+$E$11)*L48^2))/(1000000)</f>
        <v>181.86003239419639</v>
      </c>
      <c r="O48">
        <f t="shared" si="0"/>
        <v>166.55931856836406</v>
      </c>
    </row>
    <row r="49" spans="11:15">
      <c r="K49">
        <f t="shared" si="1"/>
        <v>44</v>
      </c>
      <c r="L49" s="1">
        <f t="shared" si="2"/>
        <v>4.9599999999999984E-2</v>
      </c>
      <c r="M49" s="1">
        <f>$E$12*($I$10^2)*(3+$E$11)/8*(($B$10^2)+($B$11^2)-($B$10^2*$B$11^2/(L49^2)) -L49^2)/1000000</f>
        <v>143.6699453085665</v>
      </c>
      <c r="N49" s="1">
        <f>$E$12*($I$10^2)*(3+$E$11)/8*(($B$10^2)+($B$11^2)+($B$10^2*$B$11^2/(L49^2)) -((3*$E$11+1)/(3+$E$11)*L49^2))/(1000000)</f>
        <v>180.54714773608717</v>
      </c>
      <c r="O49">
        <f t="shared" si="0"/>
        <v>165.22447427588219</v>
      </c>
    </row>
    <row r="50" spans="11:15">
      <c r="K50">
        <f t="shared" si="1"/>
        <v>45</v>
      </c>
      <c r="L50" s="1">
        <f t="shared" si="2"/>
        <v>5.0499999999999982E-2</v>
      </c>
      <c r="M50" s="1">
        <f>$E$12*($I$10^2)*(3+$E$11)/8*(($B$10^2)+($B$11^2)-($B$10^2*$B$11^2/(L50^2)) -L50^2)/1000000</f>
        <v>142.16577086985745</v>
      </c>
      <c r="N50" s="1">
        <f>$E$12*($I$10^2)*(3+$E$11)/8*(($B$10^2)+($B$11^2)+($B$10^2*$B$11^2/(L50^2)) -((3*$E$11+1)/(3+$E$11)*L50^2))/(1000000)</f>
        <v>179.23169495503146</v>
      </c>
      <c r="O50">
        <f t="shared" si="0"/>
        <v>163.87341091794323</v>
      </c>
    </row>
    <row r="51" spans="11:15">
      <c r="K51">
        <f t="shared" si="1"/>
        <v>46</v>
      </c>
      <c r="L51" s="1">
        <f t="shared" si="2"/>
        <v>5.139999999999998E-2</v>
      </c>
      <c r="M51" s="1">
        <f>$E$12*($I$10^2)*(3+$E$11)/8*(($B$10^2)+($B$11^2)-($B$10^2*$B$11^2/(L51^2)) -L51^2)/1000000</f>
        <v>140.61456979099842</v>
      </c>
      <c r="N51" s="1">
        <f>$E$12*($I$10^2)*(3+$E$11)/8*(($B$10^2)+($B$11^2)+($B$10^2*$B$11^2/(L51^2)) -((3*$E$11+1)/(3+$E$11)*L51^2))/(1000000)</f>
        <v>177.91256622675732</v>
      </c>
      <c r="O51">
        <f t="shared" si="0"/>
        <v>162.50612141857883</v>
      </c>
    </row>
    <row r="52" spans="11:15">
      <c r="K52">
        <f t="shared" si="1"/>
        <v>47</v>
      </c>
      <c r="L52" s="1">
        <f t="shared" si="2"/>
        <v>5.2299999999999978E-2</v>
      </c>
      <c r="M52" s="1">
        <f>$E$12*($I$10^2)*(3+$E$11)/8*(($B$10^2)+($B$11^2)-($B$10^2*$B$11^2/(L52^2)) -L52^2)/1000000</f>
        <v>139.0173554042978</v>
      </c>
      <c r="N52" s="1">
        <f>$E$12*($I$10^2)*(3+$E$11)/8*(($B$10^2)+($B$11^2)+($B$10^2*$B$11^2/(L52^2)) -((3*$E$11+1)/(3+$E$11)*L52^2))/(1000000)</f>
        <v>176.58874821895634</v>
      </c>
      <c r="O52">
        <f t="shared" si="0"/>
        <v>161.12265616476191</v>
      </c>
    </row>
    <row r="53" spans="11:15">
      <c r="K53">
        <f t="shared" si="1"/>
        <v>48</v>
      </c>
      <c r="L53" s="1">
        <f t="shared" si="2"/>
        <v>5.3199999999999976E-2</v>
      </c>
      <c r="M53" s="1">
        <f>$E$12*($I$10^2)*(3+$E$11)/8*(($B$10^2)+($B$11^2)-($B$10^2*$B$11^2/(L53^2)) -L53^2)/1000000</f>
        <v>137.37505605929621</v>
      </c>
      <c r="N53" s="1">
        <f>$E$12*($I$10^2)*(3+$E$11)/8*(($B$10^2)+($B$11^2)+($B$10^2*$B$11^2/(L53^2)) -((3*$E$11+1)/(3+$E$11)*L53^2))/(1000000)</f>
        <v>175.259312582088</v>
      </c>
      <c r="O53">
        <f t="shared" si="0"/>
        <v>159.72311912545018</v>
      </c>
    </row>
    <row r="54" spans="11:15">
      <c r="K54">
        <f t="shared" si="1"/>
        <v>49</v>
      </c>
      <c r="L54" s="1">
        <f t="shared" si="2"/>
        <v>5.4099999999999974E-2</v>
      </c>
      <c r="M54" s="1">
        <f>$E$12*($I$10^2)*(3+$E$11)/8*(($B$10^2)+($B$11^2)-($B$10^2*$B$11^2/(L54^2)) -L54^2)/1000000</f>
        <v>135.68852353395349</v>
      </c>
      <c r="N54" s="1">
        <f>$E$12*($I$10^2)*(3+$E$11)/8*(($B$10^2)+($B$11^2)+($B$10^2*$B$11^2/(L54^2)) -((3*$E$11+1)/(3+$E$11)*L54^2))/(1000000)</f>
        <v>173.92340753819235</v>
      </c>
      <c r="O54">
        <f t="shared" si="0"/>
        <v>158.30766479128229</v>
      </c>
    </row>
    <row r="55" spans="11:15">
      <c r="K55">
        <f t="shared" si="1"/>
        <v>50</v>
      </c>
      <c r="L55" s="1">
        <f t="shared" si="2"/>
        <v>5.4999999999999973E-2</v>
      </c>
      <c r="M55" s="1">
        <f>$E$12*($I$10^2)*(3+$E$11)/8*(($B$10^2)+($B$11^2)-($B$10^2*$B$11^2/(L55^2)) -L55^2)/1000000</f>
        <v>133.95854049036927</v>
      </c>
      <c r="N55" s="1">
        <f>$E$12*($I$10^2)*(3+$E$11)/8*(($B$10^2)+($B$11^2)+($B$10^2*$B$11^2/(L55^2)) -((3*$E$11+1)/(3+$E$11)*L55^2))/(1000000)</f>
        <v>172.58025042516977</v>
      </c>
      <c r="O55">
        <f t="shared" si="0"/>
        <v>156.87649582619457</v>
      </c>
    </row>
    <row r="56" spans="11:15">
      <c r="K56">
        <f t="shared" si="1"/>
        <v>51</v>
      </c>
      <c r="L56" s="1">
        <f t="shared" si="2"/>
        <v>5.5899999999999971E-2</v>
      </c>
      <c r="M56" s="1">
        <f>$E$12*($I$10^2)*(3+$E$11)/8*(($B$10^2)+($B$11^2)-($B$10^2*$B$11^2/(L56^2)) -L56^2)/1000000</f>
        <v>132.1858270970952</v>
      </c>
      <c r="N56" s="1">
        <f>$E$12*($I$10^2)*(3+$E$11)/8*(($B$10^2)+($B$11^2)+($B$10^2*$B$11^2/(L56^2)) -((3*$E$11+1)/(3+$E$11)*L56^2))/(1000000)</f>
        <v>171.22912107446868</v>
      </c>
      <c r="O56">
        <f t="shared" si="0"/>
        <v>155.42986134247468</v>
      </c>
    </row>
    <row r="57" spans="11:15">
      <c r="K57">
        <f t="shared" si="1"/>
        <v>52</v>
      </c>
      <c r="L57" s="1">
        <f t="shared" si="2"/>
        <v>5.6799999999999969E-2</v>
      </c>
      <c r="M57" s="1">
        <f>$E$12*($I$10^2)*(3+$E$11)/8*(($B$10^2)+($B$11^2)-($B$10^2*$B$11^2/(L57^2)) -L57^2)/1000000</f>
        <v>130.37104692283071</v>
      </c>
      <c r="N57" s="1">
        <f>$E$12*($I$10^2)*(3+$E$11)/8*(($B$10^2)+($B$11^2)+($B$10^2*$B$11^2/(L57^2)) -((3*$E$11+1)/(3+$E$11)*L57^2))/(1000000)</f>
        <v>169.86935591738964</v>
      </c>
      <c r="O57">
        <f t="shared" si="0"/>
        <v>153.96805572743551</v>
      </c>
    </row>
    <row r="58" spans="11:15">
      <c r="K58">
        <f t="shared" si="1"/>
        <v>53</v>
      </c>
      <c r="L58" s="1">
        <f t="shared" si="2"/>
        <v>5.7699999999999967E-2</v>
      </c>
      <c r="M58" s="1">
        <f>$E$12*($I$10^2)*(3+$E$11)/8*(($B$10^2)+($B$11^2)-($B$10^2*$B$11^2/(L58^2)) -L58^2)/1000000</f>
        <v>128.51481219170034</v>
      </c>
      <c r="N58" s="1">
        <f>$E$12*($I$10^2)*(3+$E$11)/8*(($B$10^2)+($B$11^2)+($B$10^2*$B$11^2/(L58^2)) -((3*$E$11+1)/(3+$E$11)*L58^2))/(1000000)</f>
        <v>168.50034272980804</v>
      </c>
      <c r="O58">
        <f t="shared" si="0"/>
        <v>152.49141796367545</v>
      </c>
    </row>
    <row r="59" spans="11:15">
      <c r="K59">
        <f t="shared" si="1"/>
        <v>54</v>
      </c>
      <c r="L59" s="1">
        <f t="shared" si="2"/>
        <v>5.8599999999999965E-2</v>
      </c>
      <c r="M59" s="1">
        <f>$E$12*($I$10^2)*(3+$E$11)/8*(($B$10^2)+($B$11^2)-($B$10^2*$B$11^2/(L59^2)) -L59^2)/1000000</f>
        <v>126.61768847794204</v>
      </c>
      <c r="N59" s="1">
        <f>$E$12*($I$10^2)*(3+$E$11)/8*(($B$10^2)+($B$11^2)+($B$10^2*$B$11^2/(L59^2)) -((3*$E$11+1)/(3+$E$11)*L59^2))/(1000000)</f>
        <v>167.12151593748595</v>
      </c>
      <c r="O59">
        <f t="shared" si="0"/>
        <v>151.0003313963467</v>
      </c>
    </row>
    <row r="60" spans="11:15">
      <c r="K60">
        <f t="shared" si="1"/>
        <v>55</v>
      </c>
      <c r="L60" s="1">
        <f t="shared" si="2"/>
        <v>5.9499999999999963E-2</v>
      </c>
      <c r="M60" s="1">
        <f>$E$12*($I$10^2)*(3+$E$11)/8*(($B$10^2)+($B$11^2)-($B$10^2*$B$11^2/(L60^2)) -L60^2)/1000000</f>
        <v>124.68019890731952</v>
      </c>
      <c r="N60" s="1">
        <f>$E$12*($I$10^2)*(3+$E$11)/8*(($B$10^2)+($B$11^2)+($B$10^2*$B$11^2/(L60^2)) -((3*$E$11+1)/(3+$E$11)*L60^2))/(1000000)</f>
        <v>165.73235241465972</v>
      </c>
      <c r="O60">
        <f t="shared" si="0"/>
        <v>149.49522391042456</v>
      </c>
    </row>
    <row r="61" spans="11:15">
      <c r="K61">
        <f t="shared" si="1"/>
        <v>56</v>
      </c>
      <c r="L61" s="1">
        <f t="shared" si="2"/>
        <v>6.0399999999999961E-2</v>
      </c>
      <c r="M61" s="1">
        <f>$E$12*($I$10^2)*(3+$E$11)/8*(($B$10^2)+($B$11^2)-($B$10^2*$B$11^2/(L61^2)) -L61^2)/1000000</f>
        <v>122.70282792361614</v>
      </c>
      <c r="N61" s="1">
        <f>$E$12*($I$10^2)*(3+$E$11)/8*(($B$10^2)+($B$11^2)+($B$10^2*$B$11^2/(L61^2)) -((3*$E$11+1)/(3+$E$11)*L61^2))/(1000000)</f>
        <v>164.33236771754596</v>
      </c>
      <c r="O61">
        <f t="shared" si="0"/>
        <v>147.97656848900382</v>
      </c>
    </row>
    <row r="62" spans="11:15">
      <c r="K62">
        <f t="shared" si="1"/>
        <v>57</v>
      </c>
      <c r="L62" s="1">
        <f t="shared" si="2"/>
        <v>6.1299999999999959E-2</v>
      </c>
      <c r="M62" s="1">
        <f>$E$12*($I$10^2)*(3+$E$11)/8*(($B$10^2)+($B$11^2)-($B$10^2*$B$11^2/(L62^2)) -L62^2)/1000000</f>
        <v>120.68602467091219</v>
      </c>
      <c r="N62" s="1">
        <f>$E$12*($I$10^2)*(3+$E$11)/8*(($B$10^2)+($B$11^2)+($B$10^2*$B$11^2/(L62^2)) -((3*$E$11+1)/(3+$E$11)*L62^2))/(1000000)</f>
        <v>162.92111270206433</v>
      </c>
      <c r="O62">
        <f t="shared" si="0"/>
        <v>146.44488413042285</v>
      </c>
    </row>
    <row r="63" spans="11:15">
      <c r="K63">
        <f t="shared" si="1"/>
        <v>58</v>
      </c>
      <c r="L63" s="1">
        <f t="shared" si="2"/>
        <v>6.2199999999999957E-2</v>
      </c>
      <c r="M63" s="1">
        <f>$E$12*($I$10^2)*(3+$E$11)/8*(($B$10^2)+($B$11^2)-($B$10^2*$B$11^2/(L63^2)) -L63^2)/1000000</f>
        <v>118.63020603579372</v>
      </c>
      <c r="N63" s="1">
        <f>$E$12*($I$10^2)*(3+$E$11)/8*(($B$10^2)+($B$11^2)+($B$10^2*$B$11^2/(L63^2)) -((3*$E$11+1)/(3+$E$11)*L63^2))/(1000000)</f>
        <v>161.49817048162888</v>
      </c>
      <c r="O63">
        <f t="shared" si="0"/>
        <v>144.9007371077482</v>
      </c>
    </row>
    <row r="64" spans="11:15">
      <c r="K64">
        <f t="shared" si="1"/>
        <v>59</v>
      </c>
      <c r="L64" s="1">
        <f t="shared" si="2"/>
        <v>6.3099999999999962E-2</v>
      </c>
      <c r="M64" s="1">
        <f>$E$12*($I$10^2)*(3+$E$11)/8*(($B$10^2)+($B$11^2)-($B$10^2*$B$11^2/(L64^2)) -L64^2)/1000000</f>
        <v>116.53575938801676</v>
      </c>
      <c r="N64" s="1">
        <f>$E$12*($I$10^2)*(3+$E$11)/8*(($B$10^2)+($B$11^2)+($B$10^2*$B$11^2/(L64^2)) -((3*$E$11+1)/(3+$E$11)*L64^2))/(1000000)</f>
        <v>160.06315368648345</v>
      </c>
      <c r="O64">
        <f t="shared" si="0"/>
        <v>143.34474255901182</v>
      </c>
    </row>
    <row r="65" spans="11:15">
      <c r="K65">
        <f t="shared" si="1"/>
        <v>60</v>
      </c>
      <c r="L65" s="1">
        <f t="shared" si="2"/>
        <v>6.399999999999996E-2</v>
      </c>
      <c r="M65" s="1">
        <f>$E$12*($I$10^2)*(3+$E$11)/8*(($B$10^2)+($B$11^2)-($B$10^2*$B$11^2/(L65^2)) -L65^2)/1000000</f>
        <v>114.40304505330671</v>
      </c>
      <c r="N65" s="1">
        <f>$E$12*($I$10^2)*(3+$E$11)/8*(($B$10^2)+($B$11^2)+($B$10^2*$B$11^2/(L65^2)) -((3*$E$11+1)/(3+$E$11)*L65^2))/(1000000)</f>
        <v>158.61570199090278</v>
      </c>
      <c r="O65">
        <f t="shared" si="0"/>
        <v>141.77756640071337</v>
      </c>
    </row>
    <row r="66" spans="11:15">
      <c r="K66">
        <f t="shared" si="1"/>
        <v>61</v>
      </c>
      <c r="L66" s="1">
        <f t="shared" si="2"/>
        <v>6.4899999999999958E-2</v>
      </c>
      <c r="M66" s="1">
        <f>$E$12*($I$10^2)*(3+$E$11)/8*(($B$10^2)+($B$11^2)-($B$10^2*$B$11^2/(L66^2)) -L66^2)/1000000</f>
        <v>112.23239854780255</v>
      </c>
      <c r="N66" s="1">
        <f>$E$12*($I$10^2)*(3+$E$11)/8*(($B$10^2)+($B$11^2)+($B$10^2*$B$11^2/(L66^2)) -((3*$E$11+1)/(3+$E$11)*L66^2))/(1000000)</f>
        <v>157.15547987874777</v>
      </c>
      <c r="O66">
        <f t="shared" si="0"/>
        <v>140.19992756057152</v>
      </c>
    </row>
    <row r="67" spans="11:15">
      <c r="K67">
        <f t="shared" si="1"/>
        <v>62</v>
      </c>
      <c r="L67" s="1">
        <f t="shared" si="2"/>
        <v>6.5799999999999956E-2</v>
      </c>
      <c r="M67" s="1">
        <f>$E$12*($I$10^2)*(3+$E$11)/8*(($B$10^2)+($B$11^2)-($B$10^2*$B$11^2/(L67^2)) -L67^2)/1000000</f>
        <v>110.02413260004501</v>
      </c>
      <c r="N67" s="1">
        <f>$E$12*($I$10^2)*(3+$E$11)/8*(($B$10^2)+($B$11^2)+($B$10^2*$B$11^2/(L67^2)) -((3*$E$11+1)/(3+$E$11)*L67^2))/(1000000)</f>
        <v>155.68217462147774</v>
      </c>
      <c r="O67">
        <f t="shared" si="0"/>
        <v>138.61260052840703</v>
      </c>
    </row>
    <row r="68" spans="11:15">
      <c r="K68">
        <f t="shared" si="1"/>
        <v>63</v>
      </c>
      <c r="L68" s="1">
        <f t="shared" si="2"/>
        <v>6.6699999999999954E-2</v>
      </c>
      <c r="M68" s="1">
        <f>$E$12*($I$10^2)*(3+$E$11)/8*(($B$10^2)+($B$11^2)-($B$10^2*$B$11^2/(L68^2)) -L68^2)/1000000</f>
        <v>107.77853898328614</v>
      </c>
      <c r="N68" s="1">
        <f>$E$12*($I$10^2)*(3+$E$11)/8*(($B$10^2)+($B$11^2)+($B$10^2*$B$11^2/(L68^2)) -((3*$E$11+1)/(3+$E$11)*L68^2))/(1000000)</f>
        <v>154.19549444584072</v>
      </c>
      <c r="O68">
        <f t="shared" si="0"/>
        <v>137.01641822639687</v>
      </c>
    </row>
    <row r="69" spans="11:15">
      <c r="K69">
        <f t="shared" si="1"/>
        <v>64</v>
      </c>
      <c r="L69" s="1">
        <f t="shared" si="2"/>
        <v>6.7599999999999952E-2</v>
      </c>
      <c r="M69" s="1">
        <f>$E$12*($I$10^2)*(3+$E$11)/8*(($B$10^2)+($B$11^2)-($B$10^2*$B$11^2/(L69^2)) -L69^2)/1000000</f>
        <v>105.49589017818649</v>
      </c>
      <c r="N69" s="1">
        <f>$E$12*($I$10^2)*(3+$E$11)/8*(($B$10^2)+($B$11^2)+($B$10^2*$B$11^2/(L69^2)) -((3*$E$11+1)/(3+$E$11)*L69^2))/(1000000)</f>
        <v>152.69516687117601</v>
      </c>
      <c r="O69">
        <f t="shared" si="0"/>
        <v>135.41227520178083</v>
      </c>
    </row>
    <row r="70" spans="11:15">
      <c r="K70">
        <f t="shared" si="1"/>
        <v>65</v>
      </c>
      <c r="L70" s="1">
        <f t="shared" si="2"/>
        <v>6.849999999999995E-2</v>
      </c>
      <c r="M70" s="1">
        <f>$E$12*($I$10^2)*(3+$E$11)/8*(($B$10^2)+($B$11^2)-($B$10^2*$B$11^2/(L70^2)) -L70^2)/1000000</f>
        <v>103.17644088360859</v>
      </c>
      <c r="N70" s="1">
        <f>$E$12*($I$10^2)*(3+$E$11)/8*(($B$10^2)+($B$11^2)+($B$10^2*$B$11^2/(L70^2)) -((3*$E$11+1)/(3+$E$11)*L70^2))/(1000000)</f>
        <v>151.18093719862117</v>
      </c>
      <c r="O70">
        <f t="shared" ref="O70:O105" si="3">(0.5*(M70^2+N70^2+(N70-M70)^2))^0.5</f>
        <v>133.80113114641497</v>
      </c>
    </row>
    <row r="71" spans="11:15">
      <c r="K71">
        <f t="shared" ref="K71:K105" si="4">K70+1</f>
        <v>66</v>
      </c>
      <c r="L71" s="1">
        <f t="shared" ref="L71:L105" si="5">L70+($B$11-$B$10)/100</f>
        <v>6.9399999999999948E-2</v>
      </c>
      <c r="M71" s="1">
        <f>$E$12*($I$10^2)*(3+$E$11)/8*(($B$10^2)+($B$11^2)-($B$10^2*$B$11^2/(L71^2)) -L71^2)/1000000</f>
        <v>100.82042939116286</v>
      </c>
      <c r="N71" s="1">
        <f>$E$12*($I$10^2)*(3+$E$11)/8*(($B$10^2)+($B$11^2)+($B$10^2*$B$11^2/(L71^2)) -((3*$E$11+1)/(3+$E$11)*L71^2))/(1000000)</f>
        <v>149.65256713656581</v>
      </c>
      <c r="O71">
        <f t="shared" si="3"/>
        <v>132.1840147483212</v>
      </c>
    </row>
    <row r="72" spans="11:15">
      <c r="K72">
        <f t="shared" si="4"/>
        <v>67</v>
      </c>
      <c r="L72" s="1">
        <f t="shared" si="5"/>
        <v>7.0299999999999946E-2</v>
      </c>
      <c r="M72" s="1">
        <f>$E$12*($I$10^2)*(3+$E$11)/8*(($B$10^2)+($B$11^2)-($B$10^2*$B$11^2/(L72^2)) -L72^2)/1000000</f>
        <v>98.42807883736954</v>
      </c>
      <c r="N72" s="1">
        <f>$E$12*($I$10^2)*(3+$E$11)/8*(($B$10^2)+($B$11^2)+($B$10^2*$B$11^2/(L72^2)) -((3*$E$11+1)/(3+$E$11)*L72^2))/(1000000)</f>
        <v>148.10983354848955</v>
      </c>
      <c r="O72">
        <f t="shared" si="3"/>
        <v>130.56202788053005</v>
      </c>
    </row>
    <row r="73" spans="11:15">
      <c r="K73">
        <f t="shared" si="4"/>
        <v>68</v>
      </c>
      <c r="L73" s="1">
        <f t="shared" si="5"/>
        <v>7.1199999999999944E-2</v>
      </c>
      <c r="M73" s="1">
        <f>$E$12*($I$10^2)*(3+$E$11)/8*(($B$10^2)+($B$11^2)-($B$10^2*$B$11^2/(L73^2)) -L73^2)/1000000</f>
        <v>95.999598345733759</v>
      </c>
      <c r="N73" s="1">
        <f>$E$12*($I$10^2)*(3+$E$11)/8*(($B$10^2)+($B$11^2)+($B$10^2*$B$11^2/(L73^2)) -((3*$E$11+1)/(3+$E$11)*L73^2))/(1000000)</f>
        <v>146.55252731088743</v>
      </c>
      <c r="O73">
        <f t="shared" si="3"/>
        <v>128.9363501319672</v>
      </c>
    </row>
    <row r="74" spans="11:15">
      <c r="K74">
        <f t="shared" si="4"/>
        <v>69</v>
      </c>
      <c r="L74" s="1">
        <f t="shared" si="5"/>
        <v>7.2099999999999942E-2</v>
      </c>
      <c r="M74" s="1">
        <f>$E$12*($I$10^2)*(3+$E$11)/8*(($B$10^2)+($B$11^2)-($B$10^2*$B$11^2/(L74^2)) -L74^2)/1000000</f>
        <v>93.535184069656623</v>
      </c>
      <c r="N74" s="1">
        <f>$E$12*($I$10^2)*(3+$E$11)/8*(($B$10^2)+($B$11^2)+($B$10^2*$B$11^2/(L74^2)) -((3*$E$11+1)/(3+$E$11)*L74^2))/(1000000)</f>
        <v>144.98045227035823</v>
      </c>
      <c r="O74">
        <f t="shared" si="3"/>
        <v>127.30824368379348</v>
      </c>
    </row>
    <row r="75" spans="11:15">
      <c r="K75">
        <f t="shared" si="4"/>
        <v>70</v>
      </c>
      <c r="L75" s="1">
        <f t="shared" si="5"/>
        <v>7.299999999999994E-2</v>
      </c>
      <c r="M75" s="1">
        <f>$E$12*($I$10^2)*(3+$E$11)/8*(($B$10^2)+($B$11^2)-($B$10^2*$B$11^2/(L75^2)) -L75^2)/1000000</f>
        <v>91.035020145903047</v>
      </c>
      <c r="N75" s="1">
        <f>$E$12*($I$10^2)*(3+$E$11)/8*(($B$10^2)+($B$11^2)+($B$10^2*$B$11^2/(L75^2)) -((3*$E$11+1)/(3+$E$11)*L75^2))/(1000000)</f>
        <v>143.39342429013712</v>
      </c>
      <c r="O75">
        <f t="shared" si="3"/>
        <v>125.67905853233307</v>
      </c>
    </row>
    <row r="76" spans="11:15">
      <c r="K76">
        <f t="shared" si="4"/>
        <v>71</v>
      </c>
      <c r="L76" s="1">
        <f t="shared" si="5"/>
        <v>7.3899999999999938E-2</v>
      </c>
      <c r="M76" s="1">
        <f>$E$12*($I$10^2)*(3+$E$11)/8*(($B$10^2)+($B$11^2)-($B$10^2*$B$11^2/(L76^2)) -L76^2)/1000000</f>
        <v>88.499279567285953</v>
      </c>
      <c r="N76" s="1">
        <f>$E$12*($I$10^2)*(3+$E$11)/8*(($B$10^2)+($B$11^2)+($B$10^2*$B$11^2/(L76^2)) -((3*$E$11+1)/(3+$E$11)*L76^2))/(1000000)</f>
        <v>141.79127037741111</v>
      </c>
      <c r="O76">
        <f t="shared" si="3"/>
        <v>124.050238056352</v>
      </c>
    </row>
    <row r="77" spans="11:15">
      <c r="K77">
        <f t="shared" si="4"/>
        <v>72</v>
      </c>
      <c r="L77" s="1">
        <f t="shared" si="5"/>
        <v>7.4799999999999936E-2</v>
      </c>
      <c r="M77" s="1">
        <f>$E$12*($I$10^2)*(3+$E$11)/8*(($B$10^2)+($B$11^2)-($B$10^2*$B$11^2/(L77^2)) -L77^2)/1000000</f>
        <v>85.928124982295827</v>
      </c>
      <c r="N77" s="1">
        <f>$E$12*($I$10^2)*(3+$E$11)/8*(($B$10^2)+($B$11^2)+($B$10^2*$B$11^2/(L77^2)) -((3*$E$11+1)/(3+$E$11)*L77^2))/(1000000)</f>
        <v>140.17382788368971</v>
      </c>
      <c r="O77">
        <f t="shared" si="3"/>
        <v>122.42332492177627</v>
      </c>
    </row>
    <row r="78" spans="11:15">
      <c r="K78">
        <f t="shared" si="4"/>
        <v>73</v>
      </c>
      <c r="L78" s="1">
        <f t="shared" si="5"/>
        <v>7.5699999999999934E-2</v>
      </c>
      <c r="M78" s="1">
        <f>$E$12*($I$10^2)*(3+$E$11)/8*(($B$10^2)+($B$11^2)-($B$10^2*$B$11^2/(L78^2)) -L78^2)/1000000</f>
        <v>83.32170942858248</v>
      </c>
      <c r="N78" s="1">
        <f>$E$12*($I$10^2)*(3+$E$11)/8*(($B$10^2)+($B$11^2)+($B$10^2*$B$11^2/(L78^2)) -((3*$E$11+1)/(3+$E$11)*L78^2))/(1000000)</f>
        <v>138.54094377132313</v>
      </c>
      <c r="O78">
        <f t="shared" si="3"/>
        <v>120.79996731073349</v>
      </c>
    </row>
    <row r="79" spans="11:15">
      <c r="K79">
        <f t="shared" si="4"/>
        <v>74</v>
      </c>
      <c r="L79" s="1">
        <f t="shared" si="5"/>
        <v>7.6599999999999932E-2</v>
      </c>
      <c r="M79" s="1">
        <f>$E$12*($I$10^2)*(3+$E$11)/8*(($B$10^2)+($B$11^2)-($B$10^2*$B$11^2/(L79^2)) -L79^2)/1000000</f>
        <v>80.680177006468938</v>
      </c>
      <c r="N79" s="1">
        <f>$E$12*($I$10^2)*(3+$E$11)/8*(($B$10^2)+($B$11^2)+($B$10^2*$B$11^2/(L79^2)) -((3*$E$11+1)/(3+$E$11)*L79^2))/(1000000)</f>
        <v>136.89247393998835</v>
      </c>
      <c r="O79">
        <f t="shared" si="3"/>
        <v>119.18192545379459</v>
      </c>
    </row>
    <row r="80" spans="11:15">
      <c r="K80">
        <f t="shared" si="4"/>
        <v>75</v>
      </c>
      <c r="L80" s="1">
        <f t="shared" si="5"/>
        <v>7.749999999999993E-2</v>
      </c>
      <c r="M80" s="1">
        <f>$E$12*($I$10^2)*(3+$E$11)/8*(($B$10^2)+($B$11^2)-($B$10^2*$B$11^2/(L80^2)) -L80^2)/1000000</f>
        <v>78.003663498036531</v>
      </c>
      <c r="N80" s="1">
        <f>$E$12*($I$10^2)*(3+$E$11)/8*(($B$10^2)+($B$11^2)+($B$10^2*$B$11^2/(L80^2)) -((3*$E$11+1)/(3+$E$11)*L80^2))/(1000000)</f>
        <v>135.22828260760406</v>
      </c>
      <c r="O80">
        <f t="shared" si="3"/>
        <v>117.57107843417961</v>
      </c>
    </row>
    <row r="81" spans="11:15">
      <c r="K81">
        <f t="shared" si="4"/>
        <v>76</v>
      </c>
      <c r="L81" s="1">
        <f t="shared" si="5"/>
        <v>7.8399999999999928E-2</v>
      </c>
      <c r="M81" s="1">
        <f>$E$12*($I$10^2)*(3+$E$11)/8*(($B$10^2)+($B$11^2)-($B$10^2*$B$11^2/(L81^2)) -L81^2)/1000000</f>
        <v>75.292296936750375</v>
      </c>
      <c r="N81" s="1">
        <f>$E$12*($I$10^2)*(3+$E$11)/8*(($B$10^2)+($B$11^2)+($B$10^2*$B$11^2/(L81^2)) -((3*$E$11+1)/(3+$E$11)*L81^2))/(1000000)</f>
        <v>133.54824174070509</v>
      </c>
      <c r="O81">
        <f t="shared" si="3"/>
        <v>115.96943122014314</v>
      </c>
    </row>
    <row r="82" spans="11:15">
      <c r="K82">
        <f t="shared" si="4"/>
        <v>77</v>
      </c>
      <c r="L82" s="1">
        <f t="shared" si="5"/>
        <v>7.9299999999999926E-2</v>
      </c>
      <c r="M82" s="1">
        <f>$E$12*($I$10^2)*(3+$E$11)/8*(($B$10^2)+($B$11^2)-($B$10^2*$B$11^2/(L82^2)) -L82^2)/1000000</f>
        <v>72.546198132090197</v>
      </c>
      <c r="N82" s="1">
        <f>$E$12*($I$10^2)*(3+$E$11)/8*(($B$10^2)+($B$11^2)+($B$10^2*$B$11^2/(L82^2)) -((3*$E$11+1)/(3+$E$11)*L82^2))/(1000000)</f>
        <v>131.85223052981178</v>
      </c>
      <c r="O82">
        <f t="shared" si="3"/>
        <v>114.37912186642001</v>
      </c>
    </row>
    <row r="83" spans="11:15">
      <c r="K83">
        <f t="shared" si="4"/>
        <v>78</v>
      </c>
      <c r="L83" s="1">
        <f t="shared" si="5"/>
        <v>8.0199999999999924E-2</v>
      </c>
      <c r="M83" s="1">
        <f>$E$12*($I$10^2)*(3+$E$11)/8*(($B$10^2)+($B$11^2)-($B$10^2*$B$11^2/(L83^2)) -L83^2)/1000000</f>
        <v>69.765481153202998</v>
      </c>
      <c r="N83" s="1">
        <f>$E$12*($I$10^2)*(3+$E$11)/8*(($B$10^2)+($B$11^2)+($B$10^2*$B$11^2/(L83^2)) -((3*$E$11+1)/(3+$E$11)*L83^2))/(1000000)</f>
        <v>130.14013490577707</v>
      </c>
      <c r="O83">
        <f t="shared" si="3"/>
        <v>112.80242880712939</v>
      </c>
    </row>
    <row r="84" spans="11:15">
      <c r="K84">
        <f t="shared" si="4"/>
        <v>79</v>
      </c>
      <c r="L84" s="1">
        <f t="shared" si="5"/>
        <v>8.1099999999999922E-2</v>
      </c>
      <c r="M84" s="1">
        <f>$E$12*($I$10^2)*(3+$E$11)/8*(($B$10^2)+($B$11^2)-($B$10^2*$B$11^2/(L84^2)) -L84^2)/1000000</f>
        <v>66.950253775195151</v>
      </c>
      <c r="N84" s="1">
        <f>$E$12*($I$10^2)*(3+$E$11)/8*(($B$10^2)+($B$11^2)+($B$10^2*$B$11^2/(L84^2)) -((3*$E$11+1)/(3+$E$11)*L84^2))/(1000000)</f>
        <v>128.41184709349463</v>
      </c>
      <c r="O84">
        <f t="shared" si="3"/>
        <v>111.24177814056668</v>
      </c>
    </row>
    <row r="85" spans="11:15">
      <c r="K85">
        <f t="shared" si="4"/>
        <v>80</v>
      </c>
      <c r="L85" s="1">
        <f t="shared" si="5"/>
        <v>8.199999999999992E-2</v>
      </c>
      <c r="M85" s="1">
        <f>$E$12*($I$10^2)*(3+$E$11)/8*(($B$10^2)+($B$11^2)-($B$10^2*$B$11^2/(L85^2)) -L85^2)/1000000</f>
        <v>64.10061789132628</v>
      </c>
      <c r="N85" s="1">
        <f>$E$12*($I$10^2)*(3+$E$11)/8*(($B$10^2)+($B$11^2)+($B$10^2*$B$11^2/(L85^2)) -((3*$E$11+1)/(3+$E$11)*L85^2))/(1000000)</f>
        <v>126.66726519970479</v>
      </c>
      <c r="O85">
        <f t="shared" si="3"/>
        <v>109.69975078055828</v>
      </c>
    </row>
    <row r="86" spans="11:15">
      <c r="K86">
        <f t="shared" si="4"/>
        <v>81</v>
      </c>
      <c r="L86" s="1">
        <f t="shared" si="5"/>
        <v>8.2899999999999918E-2</v>
      </c>
      <c r="M86" s="1">
        <f>$E$12*($I$10^2)*(3+$E$11)/8*(($B$10^2)+($B$11^2)-($B$10^2*$B$11^2/(L86^2)) -L86^2)/1000000</f>
        <v>61.216669894049772</v>
      </c>
      <c r="N86" s="1">
        <f>$E$12*($I$10^2)*(3+$E$11)/8*(($B$10^2)+($B$11^2)+($B$10^2*$B$11^2/(L86^2)) -((3*$E$11+1)/(3+$E$11)*L86^2))/(1000000)</f>
        <v>124.90629283195419</v>
      </c>
      <c r="O86">
        <f t="shared" si="3"/>
        <v>108.17908931931206</v>
      </c>
    </row>
    <row r="87" spans="11:15">
      <c r="K87">
        <f t="shared" si="4"/>
        <v>82</v>
      </c>
      <c r="L87" s="1">
        <f t="shared" si="5"/>
        <v>8.3799999999999916E-2</v>
      </c>
      <c r="M87" s="1">
        <f>$E$12*($I$10^2)*(3+$E$11)/8*(($B$10^2)+($B$11^2)-($B$10^2*$B$11^2/(L87^2)) -L87^2)/1000000</f>
        <v>58.298501027562637</v>
      </c>
      <c r="N87" s="1">
        <f>$E$12*($I$10^2)*(3+$E$11)/8*(($B$10^2)+($B$11^2)+($B$10^2*$B$11^2/(L87^2)) -((3*$E$11+1)/(3+$E$11)*L87^2))/(1000000)</f>
        <v>123.12883874604584</v>
      </c>
      <c r="O87">
        <f t="shared" si="3"/>
        <v>106.68270441290628</v>
      </c>
    </row>
    <row r="88" spans="11:15">
      <c r="K88">
        <f t="shared" si="4"/>
        <v>83</v>
      </c>
      <c r="L88" s="1">
        <f t="shared" si="5"/>
        <v>8.4699999999999914E-2</v>
      </c>
      <c r="M88" s="1">
        <f>$E$12*($I$10^2)*(3+$E$11)/8*(($B$10^2)+($B$11^2)-($B$10^2*$B$11^2/(L88^2)) -L88^2)/1000000</f>
        <v>55.346197714272797</v>
      </c>
      <c r="N88" s="1">
        <f>$E$12*($I$10^2)*(3+$E$11)/8*(($B$10^2)+($B$11^2)+($B$10^2*$B$11^2/(L88^2)) -((3*$E$11+1)/(3+$E$11)*L88^2))/(1000000)</f>
        <v>121.3348165195718</v>
      </c>
      <c r="O88">
        <f t="shared" si="3"/>
        <v>105.21368046289558</v>
      </c>
    </row>
    <row r="89" spans="11:15">
      <c r="K89">
        <f t="shared" si="4"/>
        <v>84</v>
      </c>
      <c r="L89" s="1">
        <f t="shared" si="5"/>
        <v>8.5599999999999912E-2</v>
      </c>
      <c r="M89" s="1">
        <f>$E$12*($I$10^2)*(3+$E$11)/8*(($B$10^2)+($B$11^2)-($B$10^2*$B$11^2/(L89^2)) -L89^2)/1000000</f>
        <v>52.359841857367087</v>
      </c>
      <c r="N89" s="1">
        <f>$E$12*($I$10^2)*(3+$E$11)/8*(($B$10^2)+($B$11^2)+($B$10^2*$B$11^2/(L89^2)) -((3*$E$11+1)/(3+$E$11)*L89^2))/(1000000)</f>
        <v>119.52414424934523</v>
      </c>
      <c r="O89">
        <f t="shared" si="3"/>
        <v>103.77528032645313</v>
      </c>
    </row>
    <row r="90" spans="11:15">
      <c r="K90">
        <f t="shared" si="4"/>
        <v>85</v>
      </c>
      <c r="L90" s="1">
        <f t="shared" si="5"/>
        <v>8.649999999999991E-2</v>
      </c>
      <c r="M90" s="1">
        <f>$E$12*($I$10^2)*(3+$E$11)/8*(($B$10^2)+($B$11^2)-($B$10^2*$B$11^2/(L90^2)) -L90^2)/1000000</f>
        <v>49.339511121457498</v>
      </c>
      <c r="N90" s="1">
        <f>$E$12*($I$10^2)*(3+$E$11)/8*(($B$10^2)+($B$11^2)+($B$10^2*$B$11^2/(L90^2)) -((3*$E$11+1)/(3+$E$11)*L90^2))/(1000000)</f>
        <v>117.69674427075412</v>
      </c>
      <c r="O90">
        <f t="shared" si="3"/>
        <v>102.3709487439357</v>
      </c>
    </row>
    <row r="91" spans="11:15">
      <c r="K91">
        <f t="shared" si="4"/>
        <v>86</v>
      </c>
      <c r="L91" s="1">
        <f t="shared" si="5"/>
        <v>8.7399999999999908E-2</v>
      </c>
      <c r="M91" s="1">
        <f>$E$12*($I$10^2)*(3+$E$11)/8*(($B$10^2)+($B$11^2)-($B$10^2*$B$11^2/(L91^2)) -L91^2)/1000000</f>
        <v>46.285279193103385</v>
      </c>
      <c r="N91" s="1">
        <f>$E$12*($I$10^2)*(3+$E$11)/8*(($B$10^2)+($B$11^2)+($B$10^2*$B$11^2/(L91^2)) -((3*$E$11+1)/(3+$E$11)*L91^2))/(1000000)</f>
        <v>115.85254289723915</v>
      </c>
      <c r="O91">
        <f t="shared" si="3"/>
        <v>101.0043141282117</v>
      </c>
    </row>
    <row r="92" spans="11:15">
      <c r="K92">
        <f t="shared" si="4"/>
        <v>87</v>
      </c>
      <c r="L92" s="1">
        <f t="shared" si="5"/>
        <v>8.8299999999999906E-2</v>
      </c>
      <c r="M92" s="1">
        <f>$E$12*($I$10^2)*(3+$E$11)/8*(($B$10^2)+($B$11^2)-($B$10^2*$B$11^2/(L92^2)) -L92^2)/1000000</f>
        <v>43.197216022841275</v>
      </c>
      <c r="N92" s="1">
        <f>$E$12*($I$10^2)*(3+$E$11)/8*(($B$10^2)+($B$11^2)+($B$10^2*$B$11^2/(L92^2)) -((3*$E$11+1)/(3+$E$11)*L92^2))/(1000000)</f>
        <v>113.99147017826378</v>
      </c>
      <c r="O92">
        <f t="shared" si="3"/>
        <v>99.679188316690698</v>
      </c>
    </row>
    <row r="93" spans="11:15">
      <c r="K93">
        <f t="shared" si="4"/>
        <v>88</v>
      </c>
      <c r="L93" s="1">
        <f t="shared" si="5"/>
        <v>8.9199999999999904E-2</v>
      </c>
      <c r="M93" s="1">
        <f>$E$12*($I$10^2)*(3+$E$11)/8*(($B$10^2)+($B$11^2)-($B$10^2*$B$11^2/(L93^2)) -L93^2)/1000000</f>
        <v>40.07538805020787</v>
      </c>
      <c r="N93" s="1">
        <f>$E$12*($I$10^2)*(3+$E$11)/8*(($B$10^2)+($B$11^2)+($B$10^2*$B$11^2/(L93^2)) -((3*$E$11+1)/(3+$E$11)*L93^2))/(1000000)</f>
        <v>112.11345967429129</v>
      </c>
      <c r="O93">
        <f t="shared" si="3"/>
        <v>98.399563847687489</v>
      </c>
    </row>
    <row r="94" spans="11:15">
      <c r="K94">
        <f t="shared" si="4"/>
        <v>89</v>
      </c>
      <c r="L94" s="1">
        <f t="shared" si="5"/>
        <v>9.0099999999999902E-2</v>
      </c>
      <c r="M94" s="1">
        <f>$E$12*($I$10^2)*(3+$E$11)/8*(($B$10^2)+($B$11^2)-($B$10^2*$B$11^2/(L94^2)) -L94^2)/1000000</f>
        <v>36.919858413107846</v>
      </c>
      <c r="N94" s="1">
        <f>$E$12*($I$10^2)*(3+$E$11)/8*(($B$10^2)+($B$11^2)+($B$10^2*$B$11^2/(L94^2)) -((3*$E$11+1)/(3+$E$11)*L94^2))/(1000000)</f>
        <v>110.21844824741704</v>
      </c>
      <c r="O94">
        <f t="shared" si="3"/>
        <v>97.169608291406561</v>
      </c>
    </row>
    <row r="95" spans="11:15">
      <c r="K95">
        <f t="shared" si="4"/>
        <v>90</v>
      </c>
      <c r="L95" s="1">
        <f t="shared" si="5"/>
        <v>9.09999999999999E-2</v>
      </c>
      <c r="M95" s="1">
        <f>$E$12*($I$10^2)*(3+$E$11)/8*(($B$10^2)+($B$11^2)-($B$10^2*$B$11^2/(L95^2)) -L95^2)/1000000</f>
        <v>33.730687142759706</v>
      </c>
      <c r="N95" s="1">
        <f>$E$12*($I$10^2)*(3+$E$11)/8*(($B$10^2)+($B$11^2)+($B$10^2*$B$11^2/(L95^2)) -((3*$E$11+1)/(3+$E$11)*L95^2))/(1000000)</f>
        <v>108.30637586642256</v>
      </c>
      <c r="O95">
        <f t="shared" si="3"/>
        <v>95.993655147228836</v>
      </c>
    </row>
    <row r="96" spans="11:15">
      <c r="K96">
        <f t="shared" si="4"/>
        <v>91</v>
      </c>
      <c r="L96" s="1">
        <f t="shared" si="5"/>
        <v>9.1899999999999898E-2</v>
      </c>
      <c r="M96" s="1">
        <f>$E$12*($I$10^2)*(3+$E$11)/8*(($B$10^2)+($B$11^2)-($B$10^2*$B$11^2/(L96^2)) -L96^2)/1000000</f>
        <v>30.507931345342914</v>
      </c>
      <c r="N96" s="1">
        <f>$E$12*($I$10^2)*(3+$E$11)/8*(($B$10^2)+($B$11^2)+($B$10^2*$B$11^2/(L96^2)) -((3*$E$11+1)/(3+$E$11)*L96^2))/(1000000)</f>
        <v>106.37718542512823</v>
      </c>
      <c r="O96">
        <f t="shared" si="3"/>
        <v>94.876190818791017</v>
      </c>
    </row>
    <row r="97" spans="11:15">
      <c r="K97">
        <f t="shared" si="4"/>
        <v>92</v>
      </c>
      <c r="L97" s="1">
        <f t="shared" si="5"/>
        <v>9.2799999999999896E-2</v>
      </c>
      <c r="M97" s="1">
        <f>$E$12*($I$10^2)*(3+$E$11)/8*(($B$10^2)+($B$11^2)-($B$10^2*$B$11^2/(L97^2)) -L97^2)/1000000</f>
        <v>27.251645371374565</v>
      </c>
      <c r="N97" s="1">
        <f>$E$12*($I$10^2)*(3+$E$11)/8*(($B$10^2)+($B$11^2)+($B$10^2*$B$11^2/(L97^2)) -((3*$E$11+1)/(3+$E$11)*L97^2))/(1000000)</f>
        <v>104.43082257301715</v>
      </c>
      <c r="O97">
        <f t="shared" si="3"/>
        <v>93.821837202878029</v>
      </c>
    </row>
    <row r="98" spans="11:15">
      <c r="K98">
        <f t="shared" si="4"/>
        <v>93</v>
      </c>
      <c r="L98" s="1">
        <f t="shared" si="5"/>
        <v>9.3699999999999894E-2</v>
      </c>
      <c r="M98" s="1">
        <f>$E$12*($I$10^2)*(3+$E$11)/8*(($B$10^2)+($B$11^2)-($B$10^2*$B$11^2/(L98^2)) -L98^2)/1000000</f>
        <v>23.961880973752017</v>
      </c>
      <c r="N98" s="1">
        <f>$E$12*($I$10^2)*(3+$E$11)/8*(($B$10^2)+($B$11^2)+($B$10^2*$B$11^2/(L98^2)) -((3*$E$11+1)/(3+$E$11)*L98^2))/(1000000)</f>
        <v>102.46723555719178</v>
      </c>
      <c r="O98">
        <f t="shared" si="3"/>
        <v>92.835329483997882</v>
      </c>
    </row>
    <row r="99" spans="11:15">
      <c r="K99">
        <f t="shared" si="4"/>
        <v>94</v>
      </c>
      <c r="L99" s="1">
        <f t="shared" si="5"/>
        <v>9.4599999999999893E-2</v>
      </c>
      <c r="M99" s="1">
        <f>$E$12*($I$10^2)*(3+$E$11)/8*(($B$10^2)+($B$11^2)-($B$10^2*$B$11^2/(L99^2)) -L99^2)/1000000</f>
        <v>20.638687455321836</v>
      </c>
      <c r="N99" s="1">
        <f>$E$12*($I$10^2)*(3+$E$11)/8*(($B$10^2)+($B$11^2)+($B$10^2*$B$11^2/(L99^2)) -((3*$E$11+1)/(3+$E$11)*L99^2))/(1000000)</f>
        <v>100.48637507480571</v>
      </c>
      <c r="O99">
        <f t="shared" si="3"/>
        <v>91.921488819893668</v>
      </c>
    </row>
    <row r="100" spans="11:15">
      <c r="K100">
        <f t="shared" si="4"/>
        <v>95</v>
      </c>
      <c r="L100" s="1">
        <f t="shared" si="5"/>
        <v>9.5499999999999891E-2</v>
      </c>
      <c r="M100" s="1">
        <f>$E$12*($I$10^2)*(3+$E$11)/8*(($B$10^2)+($B$11^2)-($B$10^2*$B$11^2/(L100^2)) -L100^2)/1000000</f>
        <v>17.282111806759424</v>
      </c>
      <c r="N100" s="1">
        <f>$E$12*($I$10^2)*(3+$E$11)/8*(($B$10^2)+($B$11^2)+($B$10^2*$B$11^2/(L100^2)) -((3*$E$11+1)/(3+$E$11)*L100^2))/(1000000)</f>
        <v>98.488194135183477</v>
      </c>
      <c r="O100">
        <f t="shared" si="3"/>
        <v>91.085189739171398</v>
      </c>
    </row>
    <row r="101" spans="11:15">
      <c r="K101">
        <f t="shared" si="4"/>
        <v>96</v>
      </c>
      <c r="L101" s="1">
        <f t="shared" si="5"/>
        <v>9.6399999999999889E-2</v>
      </c>
      <c r="M101" s="1">
        <f>$E$12*($I$10^2)*(3+$E$11)/8*(($B$10^2)+($B$11^2)-($B$10^2*$B$11^2/(L101^2)) -L101^2)/1000000</f>
        <v>13.892198835480528</v>
      </c>
      <c r="N101" s="1">
        <f>$E$12*($I$10^2)*(3+$E$11)/8*(($B$10^2)+($B$11^2)+($B$10^2*$B$11^2/(L101^2)) -((3*$E$11+1)/(3+$E$11)*L101^2))/(1000000)</f>
        <v>96.472647930909318</v>
      </c>
      <c r="O101">
        <f t="shared" si="3"/>
        <v>90.331322253381231</v>
      </c>
    </row>
    <row r="102" spans="11:15">
      <c r="K102">
        <f t="shared" si="4"/>
        <v>97</v>
      </c>
      <c r="L102" s="1">
        <f t="shared" si="5"/>
        <v>9.7299999999999887E-2</v>
      </c>
      <c r="M102" s="1">
        <f>$E$12*($I$10^2)*(3+$E$11)/8*(($B$10^2)+($B$11^2)-($B$10^2*$B$11^2/(L102^2)) -L102^2)/1000000</f>
        <v>10.468991286245084</v>
      </c>
      <c r="N102" s="1">
        <f>$E$12*($I$10^2)*(3+$E$11)/8*(($B$10^2)+($B$11^2)+($B$10^2*$B$11^2/(L102^2)) -((3*$E$11+1)/(3+$E$11)*L102^2))/(1000000)</f>
        <v>94.439693717223335</v>
      </c>
      <c r="O102">
        <f t="shared" si="3"/>
        <v>89.664748911448811</v>
      </c>
    </row>
    <row r="103" spans="11:15">
      <c r="K103">
        <f t="shared" si="4"/>
        <v>98</v>
      </c>
      <c r="L103" s="1">
        <f t="shared" si="5"/>
        <v>9.8199999999999885E-2</v>
      </c>
      <c r="M103" s="1">
        <f>$E$12*($I$10^2)*(3+$E$11)/8*(($B$10^2)+($B$11^2)-($B$10^2*$B$11^2/(L103^2)) -L103^2)/1000000</f>
        <v>7.0125299540588886</v>
      </c>
      <c r="N103" s="1">
        <f>$E$12*($I$10^2)*(3+$E$11)/8*(($B$10^2)+($B$11^2)+($B$10^2*$B$11^2/(L103^2)) -((3*$E$11+1)/(3+$E$11)*L103^2))/(1000000)</f>
        <v>92.38929069911967</v>
      </c>
      <c r="O103">
        <f t="shared" si="3"/>
        <v>89.090257288780919</v>
      </c>
    </row>
    <row r="104" spans="11:15">
      <c r="K104">
        <f t="shared" si="4"/>
        <v>99</v>
      </c>
      <c r="L104" s="1">
        <f t="shared" si="5"/>
        <v>9.9099999999999883E-2</v>
      </c>
      <c r="M104" s="1">
        <f>$E$12*($I$10^2)*(3+$E$11)/8*(($B$10^2)+($B$11^2)-($B$10^2*$B$11^2/(L104^2)) -L104^2)/1000000</f>
        <v>3.5228537899314003</v>
      </c>
      <c r="N104" s="1">
        <f>$E$12*($I$10^2)*(3+$E$11)/8*(($B$10^2)+($B$11^2)+($B$10^2*$B$11^2/(L104^2)) -((3*$E$11+1)/(3+$E$11)*L104^2))/(1000000)</f>
        <v>90.321399925588878</v>
      </c>
      <c r="O104">
        <f t="shared" si="3"/>
        <v>88.612508695463703</v>
      </c>
    </row>
    <row r="105" spans="11:15">
      <c r="K105">
        <f t="shared" si="4"/>
        <v>100</v>
      </c>
      <c r="L105" s="1">
        <f t="shared" si="5"/>
        <v>9.9999999999999881E-2</v>
      </c>
      <c r="M105" s="1">
        <f>$E$12*($I$10^2)*(3+$E$11)/8*(($B$10^2)+($B$11^2)-($B$10^2*$B$11^2/(L105^2)) -L105^2)/1000000</f>
        <v>5.1682940951280584E-13</v>
      </c>
      <c r="N105" s="1">
        <f>$E$12*($I$10^2)*(3+$E$11)/8*(($B$10^2)+($B$11^2)+($B$10^2*$B$11^2/(L105^2)) -((3*$E$11+1)/(3+$E$11)*L105^2))/(1000000)</f>
        <v>88.235984190493127</v>
      </c>
      <c r="O105">
        <f t="shared" si="3"/>
        <v>88.235984190492871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ENS CACHAN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CHAMPANEY</dc:creator>
  <cp:lastModifiedBy>Laurent CHAMPANEY</cp:lastModifiedBy>
  <dcterms:created xsi:type="dcterms:W3CDTF">2012-02-05T07:42:48Z</dcterms:created>
  <dcterms:modified xsi:type="dcterms:W3CDTF">2012-02-13T19:02:59Z</dcterms:modified>
</cp:coreProperties>
</file>